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10oDaJb483qCX+AERU9BROTf0mUp7LJNbt9wLKnqgiNSnUM2CCIn+fkvAZVTBs7D9olH1HZQY3ynnOQe4QBcug==" workbookSaltValue="60SmqZTYrZn5Awq1/AJV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X12" i="21" s="1"/>
  <c r="EP19" i="8"/>
  <c r="ER19" i="13"/>
  <c r="AL13" i="16"/>
  <c r="AJ13" i="16"/>
  <c r="EP19" i="19"/>
  <c r="S13" i="16"/>
  <c r="P13" i="16"/>
  <c r="AM13" i="20"/>
  <c r="K18" i="2"/>
  <c r="M13" i="2"/>
  <c r="M18" i="2"/>
  <c r="N13" i="2"/>
  <c r="N18" i="2"/>
  <c r="T13" i="12"/>
  <c r="BG15" i="11"/>
  <c r="BK17" i="11"/>
  <c r="AP17" i="20"/>
  <c r="BU11" i="17"/>
  <c r="BU10" i="17"/>
  <c r="BW12" i="20"/>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C12" i="14"/>
  <c r="K12" i="14" s="1"/>
  <c r="AB13" i="21"/>
  <c r="BG10" i="8"/>
  <c r="BJ12" i="11"/>
  <c r="BI15" i="11"/>
  <c r="V11" i="11"/>
  <c r="BL17" i="11"/>
  <c r="BH17" i="16"/>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M12" i="11"/>
  <c r="BF10" i="11"/>
  <c r="BM16" i="11"/>
  <c r="BH11" i="16"/>
  <c r="AL16" i="11"/>
  <c r="C16" i="6"/>
  <c r="BE9" i="13"/>
  <c r="AZ19" i="11"/>
  <c r="BV15" i="16"/>
  <c r="BW16" i="20"/>
  <c r="BV16" i="16"/>
  <c r="BW17" i="20"/>
  <c r="BW9" i="20"/>
  <c r="BU15" i="17"/>
  <c r="T15" i="16"/>
  <c r="T17" i="16"/>
  <c r="BM15" i="11"/>
  <c r="BH17" i="11"/>
  <c r="BL11" i="11"/>
  <c r="BG9" i="11"/>
  <c r="BI17" i="11"/>
  <c r="R10" i="21"/>
  <c r="R13" i="21" s="1"/>
  <c r="R19" i="21" s="1"/>
  <c r="BJ11" i="11"/>
  <c r="BH9" i="11"/>
  <c r="AP10" i="21"/>
  <c r="BK11" i="11"/>
  <c r="X11" i="17"/>
  <c r="BK9" i="11"/>
  <c r="BK12" i="11"/>
  <c r="P17" i="17"/>
  <c r="BG10" i="11"/>
  <c r="BL9" i="11"/>
  <c r="Q9" i="11" s="1"/>
  <c r="BF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<sst xmlns="http://schemas.openxmlformats.org/spreadsheetml/2006/main" count="2074" uniqueCount="910">
  <si>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</si>
  <si>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</si>
  <si>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</si>
  <si>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</si>
  <si>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</si>
  <si>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</si>
  <si>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</si>
  <si>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</si>
  <si>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</si>
  <si>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</si>
  <si>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</si>
  <si>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</si>
  <si>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</si>
  <si>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</si>
  <si>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</si>
  <si>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</si>
  <si>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</si>
  <si>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</si>
  <si>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</si>
  <si>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</si>
  <si>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</si>
  <si>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</si>
  <si>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</si>
  <si>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</si>
  <si>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</si>
  <si>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</si>
  <si>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</si>
  <si>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</si>
  <si>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</si>
  <si>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</si>
  <si>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</si>
  <si>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</si>
  <si>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</si>
  <si>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</si>
  <si>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</si>
  <si>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</si>
  <si>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</si>
  <si>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</si>
  <si>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</si>
  <si>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</si>
  <si>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</si>
  <si>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</si>
  <si>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</si>
  <si>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</si>
  <si>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</si>
  <si>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</si>
  <si>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</si>
  <si>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</si>
  <si>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</si>
  <si>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</si>
  <si>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</si>
  <si>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</si>
  <si>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</si>
  <si>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</si>
  <si>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</si>
  <si>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</si>
  <si>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</si>
  <si>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</si>
  <si>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</si>
  <si>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</si>
  <si>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</si>
  <si>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</si>
  <si>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</si>
  <si>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</si>
  <si>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</si>
  <si>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</si>
  <si>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</si>
  <si>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</si>
  <si>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</si>
  <si>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</si>
  <si>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</si>
  <si>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</si>
  <si>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</si>
  <si>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</si>
  <si>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</si>
  <si>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</si>
  <si>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</si>
  <si>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</si>
  <si>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</si>
  <si>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</si>
  <si>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</si>
  <si>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</si>
  <si>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</si>
  <si>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</si>
  <si>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</si>
  <si>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</si>
  <si>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</si>
  <si>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</si>
  <si>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</si>
  <si>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</si>
  <si>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</si>
  <si>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</si>
  <si>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</si>
  <si>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</si>
  <si>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</si>
  <si>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</si>
  <si>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</si>
  <si>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</si>
  <si>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</si>
  <si>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</si>
  <si>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</si>
  <si>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</si>
  <si>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</si>
  <si>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</si>
  <si>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</si>
  <si>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</si>
  <si>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</si>
  <si>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</si>
  <si>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</si>
  <si>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</si>
  <si>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</si>
  <si>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</si>
  <si>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</si>
  <si>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</si>
  <si>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</si>
  <si>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</si>
  <si>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</si>
  <si>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</si>
  <si>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</si>
  <si>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</si>
  <si>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</si>
  <si>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</si>
  <si>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</si>
  <si>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</si>
  <si>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</si>
  <si>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</si>
  <si>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</si>
  <si>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</si>
  <si>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</si>
  <si>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</si>
  <si>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</si>
  <si>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</si>
  <si>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</si>
  <si>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</si>
  <si>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</si>
  <si>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</si>
  <si>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</si>
  <si>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</si>
  <si>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</si>
  <si>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</si>
  <si>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</si>
  <si>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</si>
  <si>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</si>
  <si>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</si>
  <si>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</si>
  <si>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</si>
  <si>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</si>
  <si>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</si>
  <si>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</si>
  <si>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</si>
  <si>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</si>
  <si>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</si>
  <si>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</si>
  <si>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</si>
  <si>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</si>
  <si>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</si>
  <si>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</si>
  <si>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</si>
  <si>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</si>
  <si>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</si>
  <si>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</si>
  <si>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</si>
  <si>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</si>
  <si>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</si>
  <si>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</si>
  <si>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</si>
  <si>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</si>
  <si>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</si>
  <si>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</si>
  <si>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</si>
  <si>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</si>
  <si>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</si>
  <si>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</si>
  <si>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</si>
  <si>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</si>
  <si>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</si>
  <si>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</si>
  <si>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</si>
  <si>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</si>
  <si>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</si>
  <si>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</si>
  <si>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</si>
  <si>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</si>
  <si>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</si>
  <si>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</si>
  <si>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</si>
  <si>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</si>
  <si>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</si>
  <si>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</si>
  <si>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</si>
  <si>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</si>
  <si>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</si>
  <si>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</si>
  <si>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</si>
  <si>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</si>
  <si>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</si>
  <si>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</si>
  <si>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</si>
  <si>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</si>
  <si>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</si>
  <si>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</si>
  <si>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</si>
  <si>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</si>
  <si>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</si>
  <si>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</si>
  <si>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</si>
  <si>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</si>
  <si>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</si>
  <si>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</si>
  <si>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</si>
  <si>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</si>
  <si>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</si>
  <si>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</si>
  <si>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</si>
  <si>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</si>
  <si>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</si>
  <si>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</si>
  <si>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</si>
  <si>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</si>
  <si>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</si>
  <si>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</si>
  <si>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</si>
  <si>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</si>
  <si>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</si>
  <si>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</si>
  <si>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</si>
  <si>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</si>
  <si>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</si>
  <si>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</si>
  <si>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</si>
  <si>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</si>
  <si>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</si>
  <si>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</si>
  <si>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</si>
  <si>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</si>
  <si>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</si>
  <si>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</si>
  <si>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</si>
  <si>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</si>
  <si>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</si>
  <si>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</si>
  <si>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</si>
  <si>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</si>
  <si>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</si>
  <si>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</si>
  <si>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</si>
  <si>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</si>
  <si>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</si>
  <si>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</si>
  <si>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</si>
  <si>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</si>
  <si>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</si>
  <si>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</si>
  <si>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</si>
  <si>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</si>
  <si>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</si>
  <si>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</si>
  <si>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</si>
  <si>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</si>
  <si>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</si>
  <si>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</si>
  <si>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</si>
  <si>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</si>
  <si>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</si>
  <si>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</si>
  <si>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</si>
  <si>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</si>
  <si>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</si>
  <si>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</si>
  <si>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</si>
  <si>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</si>
  <si>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</si>
  <si>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</si>
  <si>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</si>
  <si>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</si>
  <si>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</si>
  <si>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</si>
  <si>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</si>
  <si>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</si>
  <si>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</si>
  <si>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</si>
  <si>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</si>
  <si>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</si>
  <si>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</si>
  <si>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</si>
  <si>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</si>
  <si>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</si>
  <si>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</si>
  <si>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</si>
  <si>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</si>
  <si>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</si>
  <si>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</si>
  <si>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</si>
  <si>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</si>
  <si>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</si>
  <si>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</si>
  <si>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</si>
  <si>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</si>
  <si>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</si>
  <si>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</si>
  <si>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</si>
  <si>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</si>
  <si>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</si>
  <si>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</si>
  <si>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</si>
  <si>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</si>
  <si>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</si>
  <si>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</si>
  <si>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</si>
  <si>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</si>
  <si>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</si>
  <si>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</si>
  <si>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</si>
  <si>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</si>
  <si>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</si>
  <si>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</si>
  <si>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</si>
  <si>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</si>
  <si>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</si>
  <si>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</si>
  <si>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</si>
  <si>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</si>
  <si>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</si>
  <si>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</si>
  <si>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</si>
  <si>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</si>
  <si>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</si>
  <si>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</si>
  <si>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</si>
  <si>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</si>
  <si>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</si>
  <si>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</si>
  <si>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</si>
  <si>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</si>
  <si>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</si>
  <si>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</si>
  <si>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</si>
  <si>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</si>
  <si>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</si>
  <si>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</si>
  <si>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</si>
  <si>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</si>
  <si>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</si>
  <si>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</si>
  <si>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</si>
  <si>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</si>
  <si>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</si>
  <si>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</si>
  <si>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</si>
  <si>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</si>
  <si>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</si>
  <si>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</si>
  <si>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</si>
  <si>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</si>
  <si>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</si>
  <si>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</si>
  <si>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</si>
  <si>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</si>
  <si>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</si>
  <si>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</si>
  <si>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</si>
  <si>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</si>
  <si>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</si>
  <si>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</si>
  <si>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</si>
  <si>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</si>
  <si>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</si>
  <si>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</si>
  <si>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</si>
  <si>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</si>
  <si>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</si>
  <si>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</si>
  <si>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</si>
  <si>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</si>
  <si>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</si>
  <si>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</si>
  <si>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</si>
  <si>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</si>
  <si>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</si>
  <si>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</si>
  <si>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</si>
  <si>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</si>
  <si>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</si>
  <si>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</si>
  <si>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</si>
  <si>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</si>
  <si>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</si>
  <si>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</si>
  <si>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</si>
  <si>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</si>
  <si>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</si>
  <si>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</si>
  <si>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</si>
  <si>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</si>
  <si>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</si>
  <si>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</si>
  <si>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</si>
  <si>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</si>
  <si>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</si>
  <si>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</si>
  <si>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</si>
  <si>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</si>
  <si>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</si>
  <si>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</si>
  <si>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</si>
  <si>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</si>
  <si>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</si>
  <si>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</si>
  <si>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</si>
  <si>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</si>
  <si>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</si>
  <si>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</si>
  <si>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</si>
  <si>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</si>
  <si>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</si>
  <si>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</si>
  <si>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</si>
  <si>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</si>
  <si>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</si>
  <si>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</si>
  <si>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</si>
  <si>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</si>
  <si>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</si>
  <si>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</si>
  <si>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</si>
  <si>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</si>
  <si>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</si>
  <si>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</si>
  <si>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</si>
  <si>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</si>
  <si>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</si>
  <si>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</si>
  <si>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</si>
  <si>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</si>
  <si>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</si>
  <si>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</si>
  <si>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</si>
  <si>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</si>
  <si>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</si>
  <si>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</si>
  <si>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</si>
  <si>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</si>
  <si>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</si>
  <si>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</si>
  <si>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</si>
  <si>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</si>
  <si>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</si>
  <si>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</si>
  <si>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</si>
  <si>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</si>
  <si>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</si>
  <si>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</si>
  <si>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</si>
  <si>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</si>
  <si>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</si>
  <si>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</si>
  <si>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</si>
  <si>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</si>
  <si>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</si>
  <si>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</si>
  <si>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</si>
  <si>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</si>
  <si>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</si>
  <si>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</si>
  <si>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</si>
  <si>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</si>
  <si>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</si>
  <si>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</si>
  <si>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</si>
  <si>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</si>
  <si>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</si>
  <si>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</si>
  <si>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</si>
  <si>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</si>
  <si>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</si>
  <si>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</si>
  <si>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</si>
  <si>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</si>
  <si>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</si>
  <si>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</si>
  <si>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</si>
  <si>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</si>
  <si>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</si>
  <si>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</si>
  <si>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</si>
  <si>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</si>
  <si>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</si>
  <si>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</si>
  <si>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</si>
  <si>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</si>
  <si>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</si>
  <si>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</si>
  <si>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</si>
  <si>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</si>
  <si>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</si>
  <si>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</si>
  <si>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</si>
  <si>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</si>
  <si>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</si>
  <si>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</si>
  <si>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</si>
  <si>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</si>
  <si>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</si>
  <si>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</si>
  <si>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</si>
  <si>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</si>
  <si>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</si>
  <si>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</si>
  <si>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</si>
  <si>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</si>
  <si>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</si>
  <si>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</si>
  <si>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</si>
  <si>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</si>
  <si>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</si>
  <si>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</si>
  <si>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</si>
  <si>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</si>
  <si>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</si>
  <si>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</si>
  <si>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</si>
  <si>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</si>
  <si>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</si>
  <si>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</si>
  <si>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</si>
  <si>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</si>
  <si>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</si>
  <si>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</si>
  <si>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</si>
  <si>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</si>
  <si>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</si>
  <si>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</si>
  <si>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</si>
  <si>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</si>
  <si>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</si>
  <si>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</si>
  <si>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</si>
  <si>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</si>
  <si>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</si>
  <si>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</si>
  <si>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</si>
  <si>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</si>
  <si>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</si>
  <si>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</si>
  <si>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</si>
  <si>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</si>
  <si>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</si>
  <si>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</si>
  <si>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</si>
  <si>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</si>
  <si>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</si>
  <si>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</si>
  <si>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</si>
  <si>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</si>
  <si>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</si>
  <si>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</si>
  <si>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</si>
  <si>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</si>
  <si>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</si>
  <si>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</si>
  <si>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</si>
  <si>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</si>
  <si>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</si>
  <si>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</si>
  <si>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</si>
  <si>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</si>
  <si>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</si>
  <si>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</si>
  <si>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</si>
  <si>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</si>
  <si>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</si>
  <si>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</si>
  <si>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</si>
  <si>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</si>
  <si>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</si>
  <si>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</si>
  <si>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</si>
  <si>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</si>
  <si>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</si>
  <si>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</si>
  <si>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</si>
  <si>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</si>
  <si>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</si>
  <si>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</si>
  <si>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</si>
  <si>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</si>
  <si>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</si>
  <si>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</si>
  <si>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</si>
  <si>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</si>
  <si>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</si>
  <si>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</si>
  <si>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</si>
  <si>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</si>
  <si>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</si>
  <si>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</si>
  <si>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</si>
  <si>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</si>
  <si>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</si>
  <si>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</si>
  <si>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</si>
  <si>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</si>
  <si>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</si>
  <si>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</si>
  <si>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</si>
  <si>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</si>
  <si>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</si>
  <si>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</si>
  <si>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</si>
  <si>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</si>
  <si>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</si>
  <si>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</si>
  <si>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</si>
  <si>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</si>
  <si>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</si>
  <si>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</si>
  <si>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</si>
  <si>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</si>
  <si>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</si>
  <si>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</si>
  <si>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</si>
  <si>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</si>
  <si>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</si>
  <si>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</si>
  <si>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</si>
  <si>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</si>
  <si>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</si>
  <si>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</si>
  <si>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</si>
  <si>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</si>
  <si>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</si>
  <si>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</si>
  <si>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</si>
  <si>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</si>
  <si>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</si>
  <si>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</si>
  <si>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</si>
  <si>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</si>
  <si>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</si>
  <si>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</si>
  <si>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</si>
  <si>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</si>
  <si>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</si>
  <si>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</si>
  <si>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</si>
  <si>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</si>
  <si>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</si>
  <si>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</si>
  <si>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</si>
  <si>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</si>
  <si>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</si>
  <si>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</si>
  <si>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</si>
  <si>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</si>
  <si>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</si>
  <si>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</si>
  <si>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</si>
  <si>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</si>
  <si>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</si>
  <si>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</si>
  <si>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</si>
  <si>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</si>
  <si>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</si>
  <si>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</si>
  <si>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</si>
  <si>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</si>
  <si>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</si>
  <si>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</si>
  <si>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</si>
  <si>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</si>
  <si>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</si>
  <si>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</si>
  <si>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</si>
  <si>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</si>
  <si>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</si>
  <si>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</si>
  <si>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</si>
  <si>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</si>
  <si>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</si>
  <si>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</si>
  <si>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</si>
  <si>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</si>
  <si>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</si>
  <si>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</si>
  <si>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</si>
  <si>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</si>
  <si>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</si>
  <si>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</si>
  <si>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</si>
  <si>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</si>
  <si>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</si>
  <si>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</si>
  <si>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</si>
  <si>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</si>
  <si>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</si>
  <si>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</si>
  <si>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</si>
  <si>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</si>
  <si>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</si>
  <si>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</si>
  <si>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</si>
  <si>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</si>
  <si>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</si>
  <si>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</si>
  <si>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</si>
  <si>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</si>
  <si>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</si>
  <si>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</si>
  <si>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</si>
  <si>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</si>
  <si>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</si>
  <si>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</si>
  <si>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</si>
  <si>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</si>
  <si>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</si>
  <si>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</si>
  <si>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</si>
  <si>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</si>
  <si>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</si>
  <si>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</si>
  <si>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</si>
  <si>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</si>
  <si>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</si>
  <si>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</si>
  <si>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</si>
  <si>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</si>
  <si>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</si>
  <si>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</si>
  <si>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</si>
  <si>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</si>
  <si>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</si>
  <si>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</si>
  <si>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</si>
  <si>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</si>
  <si>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</si>
  <si>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</si>
  <si>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</si>
  <si>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</si>
  <si>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</si>
  <si>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</si>
  <si>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</si>
  <si>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</si>
  <si>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</si>
  <si>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</si>
  <si>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</si>
  <si>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</si>
  <si>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</si>
  <si>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</si>
  <si>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</si>
  <si>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</si>
  <si>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</si>
  <si>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</si>
  <si>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</si>
  <si>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</si>
  <si>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</si>
  <si>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</si>
  <si>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</si>
  <si>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</si>
  <si>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</si>
  <si>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</si>
  <si>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</si>
  <si>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</si>
  <si>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</si>
  <si>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</si>
  <si>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</si>
  <si>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</si>
  <si>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</si>
  <si>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</si>
  <si>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</si>
  <si>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</si>
  <si>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</si>
  <si>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</si>
  <si>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</si>
  <si>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</si>
  <si>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</si>
  <si>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</si>
  <si>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</si>
  <si>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</si>
  <si>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</si>
  <si>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</si>
  <si>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</si>
  <si>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</si>
  <si>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</si>
  <si>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</si>
  <si>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</si>
  <si>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</si>
  <si>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</si>
  <si>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</si>
  <si>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</si>
  <si>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</si>
  <si>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</si>
  <si>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</si>
  <si>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</si>
  <si>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</si>
  <si>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</si>
  <si>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</si>
  <si>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</si>
  <si>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</si>
  <si>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</si>
  <si>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</si>
  <si>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</si>
  <si>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</si>
  <si>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</si>
  <si>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</si>
  <si>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</si>
  <si>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</si>
  <si>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</si>
  <si>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</si>
  <si>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</si>
  <si>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</si>
  <si>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</si>
  <si>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</si>
  <si>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</si>
  <si>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</si>
  <si>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</si>
  <si>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</si>
  <si>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</si>
  <si>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</si>
  <si>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</si>
  <si>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</si>
  <si>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</si>
  <si>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</si>
  <si>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</si>
  <si>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</si>
  <si>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</si>
  <si>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</si>
  <si>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</si>
  <si>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</si>
  <si>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</si>
  <si>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</si>
  <si>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</si>
  <si>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</si>
  <si>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</si>
  <si>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</si>
  <si>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</si>
  <si>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</si>
  <si>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</si>
  <si>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</si>
  <si>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</si>
  <si>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</si>
  <si>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</si>
  <si>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</si>
  <si>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</si>
  <si>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</si>
  <si>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</si>
  <si>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</si>
  <si>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</si>
  <si>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</si>
  <si>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</si>
  <si>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</si>
  <si>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</si>
  <si>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</si>
  <si>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</si>
  <si>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</si>
  <si>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</si>
  <si>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</si>
  <si>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</si>
  <si>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</si>
  <si>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</si>
  <si>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</si>
  <si>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</si>
  <si>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</si>
  <si>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</si>
  <si>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</si>
  <si>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</si>
  <si>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</si>
  <si>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</si>
  <si>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</si>
  <si>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</si>
  <si>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</si>
  <si>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</si>
  <si>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</si>
  <si>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</si>
  <si>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</si>
  <si>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</si>
  <si>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</si>
  <si>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</si>
  <si>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</si>
  <si>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</si>
  <si>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</si>
  <si>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</si>
  <si>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</si>
  <si>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</si>
  <si>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</si>
  <si>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</si>
  <si>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</si>
  <si>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</si>
  <si>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</si>
  <si>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</si>
  <si>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</si>
  <si>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</si>
  <si>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</si>
  <si>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</si>
  <si>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</si>
  <si>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</si>
  <si>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</si>
  <si>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</si>
  <si>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</si>
  <si>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</si>
  <si>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</si>
  <si>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</si>
  <si>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</si>
  <si>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</si>
  <si>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</si>
  <si>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</si>
  <si>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</si>
  <si>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</si>
  <si>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LAS PALMAS</t>
  </si>
  <si>
    <t>Resumenes por Partidos Judiciales</t>
  </si>
  <si>
    <t>SAN BARTOLOME DE TIRAJANA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</si>
</sst>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B48rWBV7gozMy39lZNSlSBTBMgrf6KKK/Jwes2WEZEspBPM9kpzXUFxfoPx9eR8PkIjEY3m1V3mQpUt6pRN7Q==" saltValue="NNP5F8ewzBwpsehmw5mQ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50.636131386861315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89</v>
      </c>
      <c r="D10" s="225">
        <f>IF(ISNUMBER(Datos!I10),Datos!I10," - ")</f>
        <v>89</v>
      </c>
      <c r="E10" s="226">
        <f>IF(ISNUMBER(Datos!J10),Datos!J10," - ")</f>
        <v>27</v>
      </c>
      <c r="F10" s="226">
        <f>IF(ISNUMBER(Datos!K10),Datos!K10," - ")</f>
        <v>27</v>
      </c>
      <c r="G10" s="1034" t="str">
        <f>IF(Datos!E10&lt;&gt;"",Datos!E10,Datos!D10)</f>
        <v>37</v>
      </c>
      <c r="H10" s="227">
        <f>IF(ISNUMBER(Datos!L10),Datos!L10," - ")</f>
        <v>89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36.25925925925926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89</v>
      </c>
      <c r="D13" s="1049">
        <f>SUBTOTAL(9,D9:D12)</f>
        <v>89</v>
      </c>
      <c r="E13" s="1050">
        <f>SUBTOTAL(9,E9:E12)</f>
        <v>27</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2572</v>
      </c>
      <c r="D15" s="225">
        <f>IF(ISNUMBER(IF(D_I="SI",Datos!I15,Datos!I15+Datos!AC15)),IF(D_I="SI",Datos!I15,Datos!I15+Datos!AC15)," - ")</f>
        <v>2563</v>
      </c>
      <c r="E15" s="226">
        <f>IF(ISNUMBER(IF(D_I="SI",Datos!J15,Datos!J15+Datos!AD15)),IF(D_I="SI",Datos!J15,Datos!J15+Datos!AD15)," - ")</f>
        <v>2889</v>
      </c>
      <c r="F15" s="226">
        <f>IF(ISNUMBER(IF(D_I="SI",Datos!K15,Datos!K15+Datos!AE15)),IF(D_I="SI",Datos!K15,Datos!K15+Datos!AE15)," - ")</f>
        <v>2927</v>
      </c>
      <c r="G15" s="1034" t="str">
        <f>IF(Datos!E15&lt;&gt;"",Datos!E15,Datos!D15)</f>
        <v>03</v>
      </c>
      <c r="H15" s="227">
        <f>IF(ISNUMBER(IF(D_I="SI",Datos!L15,Datos!L15+Datos!AF15)),IF(D_I="SI",Datos!L15,Datos!L15+Datos!AF15)," - ")</f>
        <v>2534</v>
      </c>
      <c r="I15" s="1044" t="str">
        <f>IF(ISNUMBER(Datos!AS15/Datos!BM15),Datos!AS15/Datos!BM15," - ")</f>
        <v xml:space="preserve"> - </v>
      </c>
      <c r="J15" s="1045">
        <f>IF(ISNUMBER(Datos!BY15/Datos!CN15),Datos!BY15/Datos!CN15," - ")</f>
        <v>0</v>
      </c>
      <c r="K15" s="230">
        <f t="shared" ref="K15:K17" si="3">IF(ISNUMBER((E15-F15)/C15),(E15-F15)/C15," - ")</f>
        <v>-1.4774494556765163E-2</v>
      </c>
      <c r="L15" s="1025">
        <f>IF(ISNUMBER(NºAsuntos!I15/NºAsuntos!G15),(NºAsuntos!I15/NºAsuntos!G15)*11," - ")</f>
        <v>9.5230611547659727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230</v>
      </c>
      <c r="D17" s="225">
        <f>IF(ISNUMBER(IF(D_I="SI",Datos!I17,Datos!I17+Datos!AC17)),IF(D_I="SI",Datos!I17,Datos!I17+Datos!AC17)," - ")</f>
        <v>229</v>
      </c>
      <c r="E17" s="226">
        <f>IF(ISNUMBER(IF(D_I="SI",Datos!J17,Datos!J17+Datos!AD17)),IF(D_I="SI",Datos!J17,Datos!J17+Datos!AD17)," - ")</f>
        <v>283</v>
      </c>
      <c r="F17" s="226">
        <f>IF(ISNUMBER(IF(D_I="SI",Datos!K17,Datos!K17+Datos!AE17)),IF(D_I="SI",Datos!K17,Datos!K17+Datos!AE17)," - ")</f>
        <v>248</v>
      </c>
      <c r="G17" s="1034" t="str">
        <f>IF(Datos!E17&lt;&gt;"",Datos!E17,Datos!D17)</f>
        <v>37</v>
      </c>
      <c r="H17" s="227">
        <f>IF(ISNUMBER(IF(D_I="SI",Datos!L17,Datos!L17+Datos!AF17)),IF(D_I="SI",Datos!L17,Datos!L17+Datos!AF17)," - ")</f>
        <v>265</v>
      </c>
      <c r="I17" s="1044" t="str">
        <f>IF(ISNUMBER(Datos!AS17/Datos!BM17),Datos!AS17/Datos!BM17," - ")</f>
        <v xml:space="preserve"> - </v>
      </c>
      <c r="J17" s="1045" t="str">
        <f>IF(ISNUMBER((Datos!BY17+Datos!BZ17)/Datos!CN17),(Datos!BY17+Datos!BZ17)/Datos!CN17," - ")</f>
        <v xml:space="preserve"> - </v>
      </c>
      <c r="K17" s="230">
        <f t="shared" si="3"/>
        <v>0.15217391304347827</v>
      </c>
      <c r="L17" s="1025">
        <f>IF(ISNUMBER(NºAsuntos!I17/NºAsuntos!G17),(NºAsuntos!I17/NºAsuntos!G17)*11," - ")</f>
        <v>11.754032258064516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2810</v>
      </c>
      <c r="D18" s="1049">
        <f>SUBTOTAL(9,D15:D17)</f>
        <v>2800</v>
      </c>
      <c r="E18" s="1050">
        <f>SUBTOTAL(9,E15:E17)</f>
        <v>3172</v>
      </c>
      <c r="F18" s="1050">
        <f>SUBTOTAL(9,F15:F17)</f>
        <v>3175</v>
      </c>
      <c r="G18" s="1052" t="str">
        <f ca="1">INDIRECT(CONCATENATE("G",ROW()-1))</f>
        <v>37</v>
      </c>
      <c r="H18" s="1053">
        <f ca="1">SUMIF(G$14:G17,G18,H$14:H17)</f>
        <v>265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2899</v>
      </c>
      <c r="D19" s="1071">
        <f>SUBTOTAL(9,D9:D18)</f>
        <v>2889</v>
      </c>
      <c r="E19" s="1072">
        <f>SUBTOTAL(9,E9:E18)</f>
        <v>3199</v>
      </c>
      <c r="F19" s="1072">
        <f>SUBTOTAL(9,F9:F18)</f>
        <v>3202</v>
      </c>
      <c r="G19" s="1073"/>
      <c r="H19" s="1074">
        <f ca="1">SUMIF(B9:B18,"TOTAL",H9:H18)</f>
        <v>265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VSX6D/z+XUcBgsfJq5+hlBwJoey3VirTsXVRhVZqmnO5VwVTXxZ2rLCqOhR3ApvCr/24wT2lYw+v6a8oM+xTdQ==" saltValue="hPqRZQVAjfrXb5Tu5lENl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1fcdzwBobZRGx6bBMVFfthSHEoIal5kHzLzgUJvX/uJe4OHbRHUDUF35pcXaawU3d9HumDz0phEH3ITlhBUSg==" saltValue="Ui+G7EFCnL0OzFaaYrcx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12148</v>
      </c>
      <c r="J9" s="181">
        <v>3030</v>
      </c>
      <c r="K9" s="181">
        <v>2663</v>
      </c>
      <c r="L9" s="181">
        <v>12303</v>
      </c>
      <c r="M9" s="181">
        <v>457</v>
      </c>
      <c r="N9" s="181">
        <v>1214</v>
      </c>
      <c r="O9" s="181">
        <v>964</v>
      </c>
      <c r="P9" s="181">
        <v>367</v>
      </c>
      <c r="Q9" s="181">
        <v>721</v>
      </c>
      <c r="R9" s="181">
        <v>10544</v>
      </c>
      <c r="S9" s="181">
        <v>9884</v>
      </c>
      <c r="T9" s="181">
        <v>2714</v>
      </c>
      <c r="U9" s="181">
        <v>2698</v>
      </c>
      <c r="V9" s="181">
        <v>9900</v>
      </c>
      <c r="W9" s="181">
        <v>351</v>
      </c>
      <c r="X9" s="188">
        <v>1780</v>
      </c>
      <c r="Y9" s="191">
        <v>349</v>
      </c>
      <c r="Z9" s="181">
        <v>70</v>
      </c>
      <c r="AA9" s="181">
        <v>77</v>
      </c>
      <c r="AB9" s="181">
        <v>310</v>
      </c>
      <c r="AC9" s="181">
        <v>0</v>
      </c>
      <c r="AD9" s="181">
        <v>0</v>
      </c>
      <c r="AE9" s="181">
        <v>0</v>
      </c>
      <c r="AF9" s="188">
        <v>0</v>
      </c>
      <c r="AG9" s="191">
        <v>263</v>
      </c>
      <c r="AH9" s="181">
        <v>72</v>
      </c>
      <c r="AI9" s="181">
        <v>74</v>
      </c>
      <c r="AJ9" s="192">
        <v>261</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10147</v>
      </c>
      <c r="AZ9" s="123">
        <f>IF(ISNUMBER(IF(J_V="SI",T9,T9+AH9)),IF(J_V="SI",T9,T9+AH9)," - ")</f>
        <v>2786</v>
      </c>
      <c r="BA9" s="124">
        <f>IF(ISNUMBER(IF(J_V="SI",U9,U9+AI9)),IF(J_V="SI",U9,U9+AI9)," - ")</f>
        <v>2772</v>
      </c>
      <c r="BB9" s="124">
        <f>IF(ISNUMBER(IF(J_V="SI",V9,V9+AJ9)),IF(J_V="SI",V9,V9+AJ9)," - ")</f>
        <v>10161</v>
      </c>
      <c r="BC9" s="125">
        <f>IF(ISNUMBER(X9),X9," - ")</f>
        <v>1780</v>
      </c>
      <c r="BD9" s="126">
        <f>IF(ISNUMBER(BA9/AZ9),BA9/AZ9," - ")</f>
        <v>0.99497487437185927</v>
      </c>
      <c r="BE9" s="127">
        <f>IF(ISNUMBER(BB9/BA9),BB9/BA9, " - ")</f>
        <v>3.6655844155844157</v>
      </c>
      <c r="BF9" s="127">
        <f>IF(ISNUMBER(BC9/BA9),BC9/BA9, " - ")</f>
        <v>0.64213564213564212</v>
      </c>
      <c r="BG9" s="196">
        <f>IF(ISNUMBER((AY9+AZ9)/BA9),(AY9+AZ9)/BA9," - ")</f>
        <v>4.6655844155844157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27</v>
      </c>
      <c r="K10" s="181">
        <v>27</v>
      </c>
      <c r="L10" s="181">
        <v>89</v>
      </c>
      <c r="M10" s="181">
        <v>5</v>
      </c>
      <c r="N10" s="181">
        <v>10</v>
      </c>
      <c r="O10" s="181">
        <v>0</v>
      </c>
      <c r="P10" s="181">
        <v>2</v>
      </c>
      <c r="Q10" s="181">
        <v>2</v>
      </c>
      <c r="R10" s="181">
        <v>44</v>
      </c>
      <c r="S10" s="181">
        <v>86</v>
      </c>
      <c r="T10" s="181">
        <v>27</v>
      </c>
      <c r="U10" s="181">
        <v>26</v>
      </c>
      <c r="V10" s="181">
        <v>87</v>
      </c>
      <c r="W10" s="181">
        <v>10</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86</v>
      </c>
      <c r="AZ10" s="129">
        <f t="shared" si="0"/>
        <v>27</v>
      </c>
      <c r="BA10" s="129">
        <f t="shared" si="0"/>
        <v>26</v>
      </c>
      <c r="BB10" s="129">
        <f t="shared" si="0"/>
        <v>87</v>
      </c>
      <c r="BC10" s="125">
        <f t="shared" si="0"/>
        <v>10</v>
      </c>
      <c r="BD10" s="126">
        <f>IF(ISNUMBER(BA10/AZ10),BA10/AZ10," - ")</f>
        <v>0.96296296296296291</v>
      </c>
      <c r="BE10" s="127">
        <f>IF(ISNUMBER(BB10/BA10),BB10/BA10, " - ")</f>
        <v>3.3461538461538463</v>
      </c>
      <c r="BF10" s="127">
        <f>IF(ISNUMBER(BC10/BA10),BC10/BA10, " - ")</f>
        <v>0.38461538461538464</v>
      </c>
      <c r="BG10" s="196">
        <f>IF(ISNUMBER((AY10+AZ10)/BA10),(AY10+AZ10)/BA10," - ")</f>
        <v>4.3461538461538458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v>
      </c>
      <c r="J12" s="183">
        <v>0</v>
      </c>
      <c r="K12" s="183">
        <v>3</v>
      </c>
      <c r="L12" s="183">
        <v>0</v>
      </c>
      <c r="M12" s="183">
        <v>0</v>
      </c>
      <c r="N12" s="183">
        <v>0</v>
      </c>
      <c r="O12" s="181">
        <v>0</v>
      </c>
      <c r="P12" s="183">
        <v>0</v>
      </c>
      <c r="Q12" s="183">
        <v>24</v>
      </c>
      <c r="R12" s="183">
        <v>545</v>
      </c>
      <c r="S12" s="183">
        <v>6</v>
      </c>
      <c r="T12" s="183">
        <v>0</v>
      </c>
      <c r="U12" s="183">
        <v>0</v>
      </c>
      <c r="V12" s="183">
        <v>6</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6</v>
      </c>
      <c r="AZ12" s="127">
        <f t="shared" si="1"/>
        <v>0</v>
      </c>
      <c r="BA12" s="127">
        <f t="shared" si="1"/>
        <v>0</v>
      </c>
      <c r="BB12" s="127">
        <f t="shared" si="1"/>
        <v>6</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12242</v>
      </c>
      <c r="J13" s="184">
        <f t="shared" si="6"/>
        <v>3057</v>
      </c>
      <c r="K13" s="184">
        <f t="shared" si="6"/>
        <v>2693</v>
      </c>
      <c r="L13" s="184">
        <f t="shared" si="6"/>
        <v>12392</v>
      </c>
      <c r="M13" s="184">
        <f t="shared" si="6"/>
        <v>462</v>
      </c>
      <c r="N13" s="184">
        <f t="shared" si="6"/>
        <v>1224</v>
      </c>
      <c r="O13" s="184">
        <f t="shared" si="6"/>
        <v>964</v>
      </c>
      <c r="P13" s="184">
        <f t="shared" si="6"/>
        <v>369</v>
      </c>
      <c r="Q13" s="184">
        <f t="shared" si="6"/>
        <v>747</v>
      </c>
      <c r="R13" s="184">
        <f t="shared" si="6"/>
        <v>11133</v>
      </c>
      <c r="S13" s="184">
        <f t="shared" si="6"/>
        <v>9976</v>
      </c>
      <c r="T13" s="184">
        <f t="shared" si="6"/>
        <v>2741</v>
      </c>
      <c r="U13" s="184">
        <f t="shared" si="6"/>
        <v>2724</v>
      </c>
      <c r="V13" s="184">
        <f t="shared" si="6"/>
        <v>9993</v>
      </c>
      <c r="W13" s="184">
        <f t="shared" si="6"/>
        <v>361</v>
      </c>
      <c r="X13" s="184">
        <f t="shared" si="6"/>
        <v>1792</v>
      </c>
      <c r="Y13" s="184">
        <f t="shared" si="6"/>
        <v>349</v>
      </c>
      <c r="Z13" s="184">
        <f t="shared" si="6"/>
        <v>70</v>
      </c>
      <c r="AA13" s="184">
        <f t="shared" si="6"/>
        <v>77</v>
      </c>
      <c r="AB13" s="184">
        <f t="shared" si="6"/>
        <v>310</v>
      </c>
      <c r="AC13" s="184">
        <f t="shared" si="6"/>
        <v>0</v>
      </c>
      <c r="AD13" s="184">
        <f t="shared" si="6"/>
        <v>0</v>
      </c>
      <c r="AE13" s="184">
        <f t="shared" si="6"/>
        <v>0</v>
      </c>
      <c r="AF13" s="184">
        <f>SUBTOTAL(9,AF9:AF12)</f>
        <v>0</v>
      </c>
      <c r="AG13" s="184">
        <f t="shared" ref="AG13:AT13" si="7">SUBTOTAL(9,AG8:AG12)</f>
        <v>263</v>
      </c>
      <c r="AH13" s="184">
        <f t="shared" si="7"/>
        <v>72</v>
      </c>
      <c r="AI13" s="184">
        <f t="shared" si="7"/>
        <v>74</v>
      </c>
      <c r="AJ13" s="184">
        <f t="shared" si="7"/>
        <v>261</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10239</v>
      </c>
      <c r="AZ13" s="184">
        <f>SUBTOTAL(9,AZ8:AZ12)</f>
        <v>2813</v>
      </c>
      <c r="BA13" s="184">
        <f>SUBTOTAL(9,BA8:BA12)</f>
        <v>2798</v>
      </c>
      <c r="BB13" s="184">
        <f>SUBTOTAL(9,BB8:BB12)</f>
        <v>10254</v>
      </c>
      <c r="BC13" s="184">
        <f>SUBTOTAL(9,BC8:BC12)</f>
        <v>1790</v>
      </c>
      <c r="BD13" s="205">
        <f>IF(ISNUMBER(BA13/AZ13),BA13/AZ13," - ")</f>
        <v>0.99466761464628506</v>
      </c>
      <c r="BE13" s="206">
        <f>IF(ISNUMBER(BB13/BA13),BB13/BA13, " - ")</f>
        <v>3.6647605432451753</v>
      </c>
      <c r="BF13" s="206">
        <f>IF(ISNUMBER(BC13/BA13),BC13/BA13, " - ")</f>
        <v>0.63974267333809864</v>
      </c>
      <c r="BG13" s="207">
        <f>IF(ISNUMBER((AY13+AZ13)/BA13),(AY13+AZ13)/BA13," - ")</f>
        <v>4.6647605432451753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2563</v>
      </c>
      <c r="J15" s="183">
        <v>2889</v>
      </c>
      <c r="K15" s="183">
        <v>2927</v>
      </c>
      <c r="L15" s="183">
        <v>2534</v>
      </c>
      <c r="M15" s="183">
        <v>276</v>
      </c>
      <c r="N15" s="183">
        <v>2208</v>
      </c>
      <c r="O15" s="181">
        <v>8</v>
      </c>
      <c r="P15" s="183">
        <v>88</v>
      </c>
      <c r="Q15" s="183">
        <v>58</v>
      </c>
      <c r="R15" s="183">
        <v>555</v>
      </c>
      <c r="S15" s="183">
        <v>2690</v>
      </c>
      <c r="T15" s="183">
        <v>3093</v>
      </c>
      <c r="U15" s="183">
        <v>3092</v>
      </c>
      <c r="V15" s="183">
        <v>2691</v>
      </c>
      <c r="W15" s="183">
        <v>263</v>
      </c>
      <c r="X15" s="189">
        <v>2421</v>
      </c>
      <c r="Y15" s="202">
        <v>0</v>
      </c>
      <c r="Z15" s="183">
        <v>0</v>
      </c>
      <c r="AA15" s="183">
        <v>0</v>
      </c>
      <c r="AB15" s="183">
        <v>0</v>
      </c>
      <c r="AC15" s="183">
        <v>1</v>
      </c>
      <c r="AD15" s="183">
        <v>0</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2690</v>
      </c>
      <c r="AZ15" s="129">
        <f t="shared" si="9"/>
        <v>3093</v>
      </c>
      <c r="BA15" s="129">
        <f t="shared" si="9"/>
        <v>3092</v>
      </c>
      <c r="BB15" s="129">
        <f t="shared" si="9"/>
        <v>2691</v>
      </c>
      <c r="BC15" s="125">
        <f>IF(ISNUMBER(W15),W15," - ")</f>
        <v>263</v>
      </c>
      <c r="BD15" s="126">
        <f>IF(ISNUMBER(BA15/AZ15),BA15/AZ15," - ")</f>
        <v>0.9996766892984158</v>
      </c>
      <c r="BE15" s="127">
        <f>IF(ISNUMBER(BB15/BA15),BB15/BA15, " - ")</f>
        <v>0.87031047865459255</v>
      </c>
      <c r="BF15" s="127">
        <f>IF(ISNUMBER(BC15/BA15),BC15/BA15, " - ")</f>
        <v>8.5058214747736088E-2</v>
      </c>
      <c r="BG15" s="196">
        <f t="shared" ref="BG15:BG16" si="10">IF(ISNUMBER((AY15+AZ15)/BA15),(AY15+AZ15)/BA15," - ")</f>
        <v>1.8703104786545925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0</v>
      </c>
      <c r="R16" s="183">
        <v>2</v>
      </c>
      <c r="S16" s="183">
        <v>9</v>
      </c>
      <c r="T16" s="183">
        <v>0</v>
      </c>
      <c r="U16" s="183">
        <v>0</v>
      </c>
      <c r="V16" s="183">
        <v>9</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9</v>
      </c>
      <c r="AZ16" s="127">
        <f t="shared" si="9"/>
        <v>0</v>
      </c>
      <c r="BA16" s="127">
        <f t="shared" si="9"/>
        <v>0</v>
      </c>
      <c r="BB16" s="127">
        <f t="shared" si="9"/>
        <v>9</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229</v>
      </c>
      <c r="J17" s="183">
        <v>283</v>
      </c>
      <c r="K17" s="183">
        <v>248</v>
      </c>
      <c r="L17" s="183">
        <v>265</v>
      </c>
      <c r="M17" s="183">
        <v>61</v>
      </c>
      <c r="N17" s="183">
        <v>113</v>
      </c>
      <c r="O17" s="183">
        <v>0</v>
      </c>
      <c r="P17" s="183">
        <v>13</v>
      </c>
      <c r="Q17" s="183">
        <v>16</v>
      </c>
      <c r="R17" s="183">
        <v>33</v>
      </c>
      <c r="S17" s="183">
        <v>106</v>
      </c>
      <c r="T17" s="183">
        <v>252</v>
      </c>
      <c r="U17" s="183">
        <v>203</v>
      </c>
      <c r="V17" s="183">
        <v>155</v>
      </c>
      <c r="W17" s="183">
        <v>59</v>
      </c>
      <c r="X17" s="189">
        <v>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106</v>
      </c>
      <c r="AZ17" s="129">
        <f t="shared" si="14"/>
        <v>252</v>
      </c>
      <c r="BA17" s="129">
        <f t="shared" si="14"/>
        <v>203</v>
      </c>
      <c r="BB17" s="129">
        <f t="shared" si="14"/>
        <v>155</v>
      </c>
      <c r="BC17" s="125">
        <f>IF(ISNUMBER(W17),W17," - ")</f>
        <v>59</v>
      </c>
      <c r="BD17" s="126">
        <f>IF(ISNUMBER(BA17/AZ17),BA17/AZ17," - ")</f>
        <v>0.80555555555555558</v>
      </c>
      <c r="BE17" s="127">
        <f>IF(ISNUMBER(BB17/BA17),BB17/BA17, " - ")</f>
        <v>0.76354679802955661</v>
      </c>
      <c r="BF17" s="127">
        <f>IF(ISNUMBER(BC17/BA17),BC17/BA17, " - ")</f>
        <v>0.29064039408866993</v>
      </c>
      <c r="BG17" s="196">
        <f>IF(ISNUMBER((AY17+AZ17)/BA17),(AY17+AZ17)/BA17," - ")</f>
        <v>1.7635467980295567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2800</v>
      </c>
      <c r="J18" s="184">
        <f t="shared" si="15"/>
        <v>3172</v>
      </c>
      <c r="K18" s="184">
        <f t="shared" si="15"/>
        <v>3175</v>
      </c>
      <c r="L18" s="184">
        <f t="shared" si="15"/>
        <v>2807</v>
      </c>
      <c r="M18" s="184">
        <f t="shared" si="15"/>
        <v>337</v>
      </c>
      <c r="N18" s="184">
        <f t="shared" si="15"/>
        <v>2321</v>
      </c>
      <c r="O18" s="184">
        <f t="shared" si="15"/>
        <v>8</v>
      </c>
      <c r="P18" s="184">
        <f t="shared" si="15"/>
        <v>101</v>
      </c>
      <c r="Q18" s="184">
        <f t="shared" si="15"/>
        <v>74</v>
      </c>
      <c r="R18" s="184">
        <f t="shared" si="15"/>
        <v>590</v>
      </c>
      <c r="S18" s="184">
        <f t="shared" si="15"/>
        <v>2805</v>
      </c>
      <c r="T18" s="184">
        <f t="shared" si="15"/>
        <v>3345</v>
      </c>
      <c r="U18" s="184">
        <f t="shared" si="15"/>
        <v>3295</v>
      </c>
      <c r="V18" s="184">
        <f t="shared" si="15"/>
        <v>2855</v>
      </c>
      <c r="W18" s="184">
        <f t="shared" si="15"/>
        <v>322</v>
      </c>
      <c r="X18" s="184">
        <f t="shared" si="15"/>
        <v>2515</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2805</v>
      </c>
      <c r="AZ18" s="184">
        <f>SUBTOTAL(9,AZ14:AZ17)</f>
        <v>3345</v>
      </c>
      <c r="BA18" s="184">
        <f>SUBTOTAL(9,BA14:BA17)</f>
        <v>3295</v>
      </c>
      <c r="BB18" s="184">
        <f>SUBTOTAL(9,BB14:BB17)</f>
        <v>2855</v>
      </c>
      <c r="BC18" s="184">
        <f>SUBTOTAL(9,BC14:BC17)</f>
        <v>322</v>
      </c>
      <c r="BD18" s="205">
        <f>IF(ISNUMBER(BA18/AZ18),BA18/AZ18," - ")</f>
        <v>0.98505231689088191</v>
      </c>
      <c r="BE18" s="206">
        <f>IF(ISNUMBER(BB18/BA18),BB18/BA18, " - ")</f>
        <v>0.866464339908953</v>
      </c>
      <c r="BF18" s="206">
        <f>IF(ISNUMBER(BC18/BA18),BC18/BA18, " - ")</f>
        <v>9.7723823975720783E-2</v>
      </c>
      <c r="BG18" s="207">
        <f>IF(ISNUMBER((AY18+AZ18)/BA18),(AY18+AZ18)/BA18," - ")</f>
        <v>1.8664643399089529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15042</v>
      </c>
      <c r="J19" s="134">
        <f t="shared" si="18"/>
        <v>6229</v>
      </c>
      <c r="K19" s="134">
        <f t="shared" si="18"/>
        <v>5868</v>
      </c>
      <c r="L19" s="134">
        <f t="shared" si="18"/>
        <v>15199</v>
      </c>
      <c r="M19" s="134">
        <f t="shared" si="18"/>
        <v>799</v>
      </c>
      <c r="N19" s="134">
        <f t="shared" si="18"/>
        <v>3545</v>
      </c>
      <c r="O19" s="134">
        <f t="shared" si="18"/>
        <v>972</v>
      </c>
      <c r="P19" s="134">
        <f t="shared" si="18"/>
        <v>470</v>
      </c>
      <c r="Q19" s="134">
        <f t="shared" si="18"/>
        <v>821</v>
      </c>
      <c r="R19" s="134">
        <f t="shared" si="18"/>
        <v>11723</v>
      </c>
      <c r="S19" s="134">
        <f t="shared" si="18"/>
        <v>12781</v>
      </c>
      <c r="T19" s="134">
        <f t="shared" si="18"/>
        <v>6086</v>
      </c>
      <c r="U19" s="134">
        <f t="shared" si="18"/>
        <v>6019</v>
      </c>
      <c r="V19" s="134">
        <f t="shared" si="18"/>
        <v>12848</v>
      </c>
      <c r="W19" s="134">
        <f t="shared" si="18"/>
        <v>683</v>
      </c>
      <c r="X19" s="134">
        <f t="shared" si="18"/>
        <v>4307</v>
      </c>
      <c r="Y19" s="134">
        <f t="shared" si="18"/>
        <v>349</v>
      </c>
      <c r="Z19" s="134">
        <f t="shared" si="18"/>
        <v>70</v>
      </c>
      <c r="AA19" s="134">
        <f t="shared" si="18"/>
        <v>77</v>
      </c>
      <c r="AB19" s="134">
        <f t="shared" si="18"/>
        <v>310</v>
      </c>
      <c r="AC19" s="134">
        <f t="shared" si="18"/>
        <v>1</v>
      </c>
      <c r="AD19" s="134">
        <f t="shared" si="18"/>
        <v>0</v>
      </c>
      <c r="AE19" s="134">
        <f t="shared" si="18"/>
        <v>1</v>
      </c>
      <c r="AF19" s="134">
        <f t="shared" si="18"/>
        <v>0</v>
      </c>
      <c r="AG19" s="134">
        <f t="shared" si="18"/>
        <v>263</v>
      </c>
      <c r="AH19" s="134">
        <f t="shared" si="18"/>
        <v>72</v>
      </c>
      <c r="AI19" s="134">
        <f t="shared" si="18"/>
        <v>74</v>
      </c>
      <c r="AJ19" s="134">
        <f t="shared" si="18"/>
        <v>261</v>
      </c>
      <c r="AK19" s="134">
        <f t="shared" si="18"/>
        <v>0</v>
      </c>
      <c r="AL19" s="134">
        <f t="shared" si="18"/>
        <v>0</v>
      </c>
      <c r="AM19" s="134">
        <f t="shared" si="18"/>
        <v>0</v>
      </c>
      <c r="AN19" s="210">
        <f t="shared" si="18"/>
        <v>0</v>
      </c>
      <c r="AO19" s="211">
        <v>9</v>
      </c>
      <c r="AP19" s="211">
        <v>9</v>
      </c>
      <c r="AQ19" s="211">
        <v>9</v>
      </c>
      <c r="AR19" s="211">
        <v>9</v>
      </c>
      <c r="AS19" s="153">
        <f t="shared" si="18"/>
        <v>0</v>
      </c>
      <c r="AT19" s="153">
        <f t="shared" si="18"/>
        <v>0</v>
      </c>
      <c r="AU19" s="211"/>
      <c r="AV19" s="212"/>
      <c r="AW19" s="211"/>
      <c r="AX19" s="212"/>
      <c r="AY19" s="133">
        <f>SUBTOTAL(9,AY9:AY18)</f>
        <v>13044</v>
      </c>
      <c r="AZ19" s="134">
        <f>SUBTOTAL(9,AZ9:AZ18)</f>
        <v>6158</v>
      </c>
      <c r="BA19" s="134">
        <f>SUBTOTAL(9,BA9:BA18)</f>
        <v>6093</v>
      </c>
      <c r="BB19" s="134">
        <f>SUBTOTAL(9,BB9:BB18)</f>
        <v>13109</v>
      </c>
      <c r="BC19" s="135">
        <f>SUBTOTAL(9,BC9:BC18)</f>
        <v>2112</v>
      </c>
      <c r="BD19" s="213">
        <f>IF(ISNUMBER(BA19/AZ19),BA19/AZ19," - ")</f>
        <v>0.98944462487820717</v>
      </c>
      <c r="BE19" s="210">
        <f>IF(ISNUMBER(BB19/BA19),BB19/BA19, " - ")</f>
        <v>2.1514853110126375</v>
      </c>
      <c r="BF19" s="210">
        <f>IF(ISNUMBER(BC19/BA19),BC19/BA19, " - ")</f>
        <v>0.34662727720334813</v>
      </c>
      <c r="BG19" s="135">
        <f>IF(ISNUMBER((AY19+AZ19)/BA19),(AY19+AZ19)/BA19," - ")</f>
        <v>3.1514853110126375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wJTEktx84+SkLvAKv9e+Wq0yGFeMgdqBC8gC0oJPJbhcO5yp+4I+szZphfSrHPBJ/Ax5RrLljnWunElKOLSlw==" saltValue="CnAU5QRJNyuzoT5J0I57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4OipE08lschQyXTzmtPZAHEQk8SECcJyo87I5Hk8WMJemCXG2Q+Qc1dlDObl5kGkPUuwgSwfcyJvvNnCMhRg==" saltValue="9UHbhbrwwczMn1wfGQuI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70</v>
      </c>
      <c r="O9" s="334"/>
      <c r="P9" s="334"/>
      <c r="Q9" s="226">
        <f>IF(ISNUMBER(Datos!P9),Datos!P9,0)</f>
        <v>367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310</v>
      </c>
      <c r="AI9" s="334" t="str">
        <f>IF(ISNUMBER(Datos!CD9),Datos!CD9,"-")</f>
        <v>-</v>
      </c>
      <c r="AJ9" s="334" t="str">
        <f>IF(ISNUMBER(Datos!EN9),Datos!EN9," - ")</f>
        <v xml:space="preserve"> - </v>
      </c>
      <c r="AK9" s="334"/>
      <c r="AL9" s="479"/>
      <c r="AM9" s="335">
        <f>IF(ISNUMBER(Datos!R9),Datos!R9," - ")</f>
        <v>10544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457</v>
      </c>
      <c r="BD9" s="229">
        <f>IF(ISNUMBER(Datos!N9),Datos!N9," - ")</f>
        <v>1214</v>
      </c>
      <c r="BE9" s="229" t="str">
        <f>IF(ISNUMBER(Datos!BW9),Datos!BW9," - ")</f>
        <v xml:space="preserve"> - </v>
      </c>
      <c r="BF9" s="228" t="str">
        <f>IF(ISNUMBER(Datos!BX9),Datos!BX9," - ")</f>
        <v xml:space="preserve"> - </v>
      </c>
      <c r="BG9" s="243">
        <f>IF(ISNUMBER(IF(J_V="SI",Datos!K9/Datos!J9,(Datos!K9+Datos!AA9)/(Datos!J9+Datos!Z9))),IF(J_V="SI",Datos!K9/Datos!J9,(Datos!K9+Datos!AA9)/(Datos!J9+Datos!Z9))," - ")</f>
        <v>0.88387096774193552</v>
      </c>
      <c r="BH9" s="260">
        <f>IF(ISNUMBER(((IF(J_V="SI",Datos!L9/Datos!K9,(Datos!L9+Datos!AB9)/(Datos!K9+Datos!AA9)))*11)/factor_trimestre),((IF(J_V="SI",Datos!L9/Datos!K9,(Datos!L9+Datos!AB9)/(Datos!K9+Datos!AA9)))*11)/factor_trimestre," - ")</f>
        <v>9.2065693430656932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-3.2483024408148285E-2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89</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2</v>
      </c>
      <c r="AD10" s="334"/>
      <c r="AE10" s="484"/>
      <c r="AF10" s="332">
        <f>IF(ISNUMBER(Datos!L10),Datos!L10,"-")</f>
        <v>89</v>
      </c>
      <c r="AG10" s="334"/>
      <c r="AH10" s="334"/>
      <c r="AI10" s="334"/>
      <c r="AJ10" s="334"/>
      <c r="AK10" s="334"/>
      <c r="AL10" s="479"/>
      <c r="AM10" s="335">
        <f>IF(ISNUMBER(Datos!R10),Datos!R10," - ")</f>
        <v>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6.5925925925925926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0</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-4.21792618629174E-2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89</v>
      </c>
      <c r="G13" s="898">
        <f t="shared" si="0"/>
        <v>89</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369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747</v>
      </c>
      <c r="AD13" s="899">
        <f t="shared" si="1"/>
        <v>0</v>
      </c>
      <c r="AE13" s="899">
        <f t="shared" si="1"/>
        <v>0</v>
      </c>
      <c r="AF13" s="899">
        <f t="shared" si="1"/>
        <v>89</v>
      </c>
      <c r="AG13" s="899">
        <f t="shared" si="1"/>
        <v>0</v>
      </c>
      <c r="AH13" s="899">
        <f t="shared" si="1"/>
        <v>310</v>
      </c>
      <c r="AI13" s="899">
        <f t="shared" si="1"/>
        <v>0</v>
      </c>
      <c r="AJ13" s="899">
        <f t="shared" si="1"/>
        <v>0</v>
      </c>
      <c r="AK13" s="899">
        <f t="shared" si="1"/>
        <v>0</v>
      </c>
      <c r="AL13" s="899">
        <f t="shared" si="1"/>
        <v>0</v>
      </c>
      <c r="AM13" s="899">
        <f t="shared" si="1"/>
        <v>11133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462</v>
      </c>
      <c r="BD13" s="899">
        <f t="shared" si="1"/>
        <v>1224</v>
      </c>
      <c r="BE13" s="899">
        <f t="shared" si="1"/>
        <v>0</v>
      </c>
      <c r="BF13" s="899">
        <f t="shared" si="1"/>
        <v>0</v>
      </c>
      <c r="BG13" s="899">
        <f>IF(ISNUMBER(Datos!K13/Datos!J13),Datos!K13/Datos!J13," - ")</f>
        <v>0.88092901537455026</v>
      </c>
      <c r="BH13" s="903">
        <f>IF(ISNUMBER(((Datos!L13/Datos!K13)*11)/factor_trimestre),((Datos!L13/Datos!K13)*11)/factor_trimestre," - ")</f>
        <v>9.2031191979205342</v>
      </c>
      <c r="BI13" s="899">
        <f>IF(ISNUMBER('Resol  Asuntos'!D13/NºAsuntos!G13),'Resol  Asuntos'!D13/NºAsuntos!G13," - ")</f>
        <v>0.16678700361010831</v>
      </c>
      <c r="BJ13" s="899" t="str">
        <f>IF(ISNUMBER(Datos!CI13/Datos!CJ13),Datos!CI13/Datos!CJ13," - ")</f>
        <v xml:space="preserve"> - </v>
      </c>
      <c r="BK13" s="899">
        <f>SUBTOTAL(9,BK8:BK12)</f>
        <v>0</v>
      </c>
      <c r="BL13" s="899">
        <f>IF(ISNUMBER((I13-AB13+L13)/(F13)),(I13-AB13+L13)/(F13)," - ")</f>
        <v>-0.30337078651685395</v>
      </c>
      <c r="BM13" s="904">
        <f>SUBTOTAL(9,BM9:BM12)</f>
        <v>-7.4662286271065692E-2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2572</v>
      </c>
      <c r="G15" s="598">
        <f>IF(ISNUMBER(IF(D_I="SI",Datos!I15,Datos!I15+Datos!AC15)),IF(D_I="SI",Datos!I15,Datos!I15+Datos!AC15)," - ")</f>
        <v>2563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2927</v>
      </c>
      <c r="AC15" s="226">
        <f>IF(ISNUMBER(Datos!Q15),Datos!Q15," - ")</f>
        <v>58</v>
      </c>
      <c r="AD15" s="334"/>
      <c r="AE15" s="484"/>
      <c r="AF15" s="596">
        <f>IF(ISNUMBER(IF(D_I="SI",Datos!L15,Datos!L15+Datos!AF15)),IF(D_I="SI",Datos!L15,Datos!L15+Datos!AF15)," - ")</f>
        <v>2534</v>
      </c>
      <c r="AG15" s="334"/>
      <c r="AH15" s="334"/>
      <c r="AI15" s="334"/>
      <c r="AJ15" s="334"/>
      <c r="AK15" s="334"/>
      <c r="AL15" s="479"/>
      <c r="AM15" s="335">
        <f>IF(ISNUMBER(Datos!R15),Datos!R15," - ")</f>
        <v>555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276</v>
      </c>
      <c r="BD15" s="229">
        <f>IF(ISNUMBER(Datos!N15),Datos!N15," - ")</f>
        <v>2208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1.0131533402561439</v>
      </c>
      <c r="BH15" s="260">
        <f>IF(ISNUMBER(((IF(D_I="SI",Datos!L15/Datos!K15,(Datos!L15+Datos!AF15)/(Datos!K15+Datos!AE15)))*11)/factor_trimestre),((IF(D_I="SI",Datos!L15/Datos!K15,(Datos!L15+Datos!AF15)/(Datos!K15+Datos!AE15)))*11)/factor_trimestre," - ")</f>
        <v>1.7314656645029041</v>
      </c>
      <c r="BI15" s="243">
        <f>IF(ISNUMBER('Resol  Asuntos'!D15/NºAsuntos!G15),'Resol  Asuntos'!D15/NºAsuntos!G15," - ")</f>
        <v>9.4294499487529895E-2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8</v>
      </c>
      <c r="AG16" s="334"/>
      <c r="AH16" s="334"/>
      <c r="AI16" s="334"/>
      <c r="AJ16" s="334"/>
      <c r="AK16" s="334"/>
      <c r="AL16" s="479"/>
      <c r="AM16" s="335">
        <f>IF(ISNUMBER(Datos!R16),Datos!R16," - ")</f>
        <v>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248</v>
      </c>
      <c r="AC17" s="226">
        <f>IF(ISNUMBER(Datos!Q17),Datos!Q17," - ")</f>
        <v>16</v>
      </c>
      <c r="AD17" s="334"/>
      <c r="AE17" s="484"/>
      <c r="AF17" s="332">
        <f>IF(ISNUMBER(Datos!L17),Datos!L17,"-")</f>
        <v>265</v>
      </c>
      <c r="AG17" s="334"/>
      <c r="AH17" s="334"/>
      <c r="AI17" s="334"/>
      <c r="AJ17" s="334"/>
      <c r="AK17" s="334"/>
      <c r="AL17" s="479"/>
      <c r="AM17" s="335">
        <f>IF(ISNUMBER(Datos!R17),Datos!R17," - ")</f>
        <v>33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61</v>
      </c>
      <c r="BD17" s="229">
        <f>IF(ISNUMBER(Datos!N17),Datos!N17," - ")</f>
        <v>113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0.87632508833922262</v>
      </c>
      <c r="BH17" s="260">
        <f>IF(ISNUMBER(((IF(D_I="SI",Datos!L17/Datos!K17,(Datos!L17+Datos!AF17)/(Datos!K17+Datos!AE17)))*11)/factor_trimestre),((IF(D_I="SI",Datos!L17/Datos!K17,(Datos!L17+Datos!AF17)/(Datos!K17+Datos!AE17)))*11)/factor_trimestre," - ")</f>
        <v>2.1370967741935485</v>
      </c>
      <c r="BI17" s="243">
        <f>IF(ISNUMBER('Resol  Asuntos'!D17/NºAsuntos!G17),'Resol  Asuntos'!D17/NºAsuntos!G17," - ")</f>
        <v>0.24596774193548387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2580</v>
      </c>
      <c r="G18" s="898">
        <f>SUBTOTAL(9,G15:G17)</f>
        <v>2800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3175</v>
      </c>
      <c r="AC18" s="899">
        <f t="shared" si="4"/>
        <v>74</v>
      </c>
      <c r="AD18" s="899">
        <f t="shared" si="4"/>
        <v>0</v>
      </c>
      <c r="AE18" s="899">
        <f t="shared" si="4"/>
        <v>0</v>
      </c>
      <c r="AF18" s="899">
        <f t="shared" si="4"/>
        <v>2807</v>
      </c>
      <c r="AG18" s="899">
        <f t="shared" si="4"/>
        <v>0</v>
      </c>
      <c r="AH18" s="899">
        <f t="shared" si="4"/>
        <v>0</v>
      </c>
      <c r="AI18" s="899">
        <f t="shared" si="4"/>
        <v>0</v>
      </c>
      <c r="AJ18" s="899">
        <f t="shared" si="4"/>
        <v>0</v>
      </c>
      <c r="AK18" s="899">
        <f t="shared" si="4"/>
        <v>0</v>
      </c>
      <c r="AL18" s="899">
        <f t="shared" si="4"/>
        <v>0</v>
      </c>
      <c r="AM18" s="899">
        <f t="shared" si="4"/>
        <v>590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337</v>
      </c>
      <c r="BD18" s="899">
        <f t="shared" si="4"/>
        <v>2321</v>
      </c>
      <c r="BE18" s="899">
        <f t="shared" si="4"/>
        <v>0</v>
      </c>
      <c r="BF18" s="899">
        <f t="shared" si="4"/>
        <v>0</v>
      </c>
      <c r="BG18" s="899">
        <f>IF(ISNUMBER(Datos!K18/Datos!J18),Datos!K18/Datos!J18," - ")</f>
        <v>1.0009457755359394</v>
      </c>
      <c r="BH18" s="903">
        <f>IF(ISNUMBER(((Datos!L18/Datos!K18)*11)/factor_trimestre),((Datos!L18/Datos!K18)*11)/factor_trimestre," - ")</f>
        <v>1.7681889763779528</v>
      </c>
      <c r="BI18" s="899">
        <f>SUBTOTAL(9,BI15:BI17)</f>
        <v>0.34026224142301376</v>
      </c>
      <c r="BJ18" s="899">
        <f>SUBTOTAL(9,BJ15:BJ17)</f>
        <v>0</v>
      </c>
      <c r="BK18" s="899">
        <f>SUBTOTAL(9,BK15:BK17)</f>
        <v>0</v>
      </c>
      <c r="BL18" s="899">
        <f>IF(ISNUMBER((I18-AB18+L18)/(F18)),(I18-AB18+L18)/(F18)," - ")</f>
        <v>-1.2306201550387597</v>
      </c>
      <c r="BM18" s="905">
        <f>IF(ISNUMBER((Datos!P18-Datos!Q18)/(Datos!R18-Datos!P18+Datos!Q18)),(Datos!P18-Datos!Q18)/(Datos!R18-Datos!P18+Datos!Q18)," - ")</f>
        <v>4.7957371225577264E-2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2669</v>
      </c>
      <c r="G19" s="820">
        <f t="shared" si="6"/>
        <v>2889</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470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3202</v>
      </c>
      <c r="AC19" s="821">
        <f t="shared" si="7"/>
        <v>821</v>
      </c>
      <c r="AD19" s="821">
        <f t="shared" si="7"/>
        <v>0</v>
      </c>
      <c r="AE19" s="821">
        <f t="shared" si="7"/>
        <v>0</v>
      </c>
      <c r="AF19" s="828">
        <f t="shared" si="7"/>
        <v>2896</v>
      </c>
      <c r="AG19" s="828">
        <f t="shared" si="7"/>
        <v>0</v>
      </c>
      <c r="AH19" s="828">
        <f t="shared" si="7"/>
        <v>310</v>
      </c>
      <c r="AI19" s="828">
        <f t="shared" si="7"/>
        <v>0</v>
      </c>
      <c r="AJ19" s="821">
        <f t="shared" si="7"/>
        <v>0</v>
      </c>
      <c r="AK19" s="828">
        <f t="shared" si="7"/>
        <v>0</v>
      </c>
      <c r="AL19" s="828">
        <f t="shared" si="7"/>
        <v>0</v>
      </c>
      <c r="AM19" s="828">
        <f t="shared" si="7"/>
        <v>11723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799</v>
      </c>
      <c r="BD19" s="820">
        <f t="shared" si="7"/>
        <v>3545</v>
      </c>
      <c r="BE19" s="820">
        <f t="shared" si="7"/>
        <v>0</v>
      </c>
      <c r="BF19" s="830">
        <f t="shared" si="7"/>
        <v>0</v>
      </c>
      <c r="BG19" s="915">
        <f>IF(ISNUMBER(Datos!K19/Datos!J19),Datos!K19/Datos!J19," - ")</f>
        <v>0.94204527211430411</v>
      </c>
      <c r="BH19" s="915">
        <f>IF(ISNUMBER(((Datos!L19/Datos!K19)*11)/factor_trimestre),((Datos!L19/Datos!K19)*11)/factor_trimestre," - ")</f>
        <v>5.180299931833674</v>
      </c>
      <c r="BI19" s="813">
        <f>IF(ISNUMBER(Datos!J19/Datos!I19),Datos!J19/Datos!I19," - ")</f>
        <v>0.41410716660018615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-1.1997002622705133</v>
      </c>
      <c r="BM19" s="889">
        <f>IF(ISNUMBER((Datos!P19-Datos!Q19+R19)/(Datos!R19-Datos!P19+Datos!Q19-R19)),(Datos!P19-Datos!Q19+R19)/(Datos!R19-Datos!P19+Datos!Q19-R19)," - ")</f>
        <v>-2.9070730495279112E-2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1377.3744225881355</v>
      </c>
      <c r="G21" s="552">
        <f>IF(ISNUMBER(STDEV(G8:G18)),STDEV(G8:G18),"-")</f>
        <v>1335.1480816748381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1541.1497872259745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205.83748790871752</v>
      </c>
      <c r="BD21" s="551"/>
      <c r="BE21" s="551">
        <f>IF(ISNUMBER(STDEV(BE8:BE18)),STDEV(BE8:BE18),"-")</f>
        <v>0</v>
      </c>
      <c r="BF21" s="556">
        <f>IF(ISNUMBER(STDEV(BF8:BF18)),STDEV(BF8:BF18),"-")</f>
        <v>0</v>
      </c>
      <c r="BG21" s="775">
        <f>IF(ISNUMBER(STDEV(BG8:BG18)),STDEV(BG8:BG18),"-")</f>
        <v>6.8295700150551794E-2</v>
      </c>
      <c r="BH21" s="776">
        <f>IF(ISNUMBER(STDEV(BH8:BH18)),STDEV(BH8:BH18),"-")</f>
        <v>3.8623192390596337</v>
      </c>
      <c r="BI21" s="249">
        <f>IF(ISNUMBER(STDEV(BI8:BI18)),STDEV(BI8:BI18),"-")</f>
        <v>0.10567827188810629</v>
      </c>
      <c r="BJ21" s="230" t="str">
        <f>IF(ISNUMBER(BL21/BM21),BL21/BM21," - ")</f>
        <v xml:space="preserve"> - </v>
      </c>
      <c r="BK21" s="575"/>
      <c r="BL21" s="559">
        <f>IF(ISNUMBER(STDEV(BL8:BL18)),STDEV(BL8:BL18),"-")</f>
        <v>0.65566431633278344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6OjNB3HqYMaIlgqcgtuJEcby61TmXN6Tp7P34HesizjfHOAnVzwaXO5//uv+L2hmBXdDegy0olifjwkkPaIeg==" saltValue="kk5EEd9b/hFI7igBcT9U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 BARTOLOME DE TIRAJANA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721</v>
      </c>
      <c r="AA9" s="332" t="str">
        <f>IF(ISNUMBER(IF(J_V="SI",Datos!L9,Datos!L9+Datos!AB9)-IF(Monitorios="SI",Datos!CD9,0)),
                          IF(J_V="SI",Datos!L9,Datos!L9+Datos!AB9)-IF(Monitorios="SI",Datos!CD9,0),
                          " - ")</f>
        <v xml:space="preserve"> - </v>
      </c>
      <c r="AB9" s="334"/>
      <c r="AC9" s="334"/>
      <c r="AD9" s="484"/>
      <c r="AE9" s="484">
        <f>IF(ISNUMBER(Datos!R9),Datos!R9," - ")</f>
        <v>10544</v>
      </c>
      <c r="AF9" s="229" t="str">
        <f>IF(ISNUMBER(Datos!BV9),Datos!BV9," - ")</f>
        <v xml:space="preserve"> - </v>
      </c>
      <c r="AG9" s="225" t="str">
        <f>IF(ISNUMBER(Datos!DV9),Datos!DV9," - ")</f>
        <v xml:space="preserve"> - </v>
      </c>
      <c r="AH9" s="298"/>
      <c r="AI9" s="227"/>
      <c r="AJ9" s="225">
        <f>IF(ISNUMBER(Datos!M9),Datos!M9," - ")</f>
        <v>457</v>
      </c>
      <c r="AK9" s="229">
        <f>IF(ISNUMBER(Datos!N9),Datos!N9," - ")</f>
        <v>1214</v>
      </c>
      <c r="AL9" s="229" t="str">
        <f>IF(ISNUMBER(Datos!BW9),Datos!BW9," - ")</f>
        <v xml:space="preserve"> - </v>
      </c>
      <c r="AM9" s="228" t="str">
        <f>IF(ISNUMBER(Datos!BX9),Datos!BX9," - ")</f>
        <v xml:space="preserve"> - </v>
      </c>
      <c r="AN9" s="243"/>
      <c r="AO9" s="260">
        <f>IF(ISNUMBER(((NºAsuntos!I9/NºAsuntos!G9)*11)/factor_trimestre),((NºAsuntos!I9/NºAsuntos!G9)*11)/factor_trimestre," - ")</f>
        <v>9.2065693430656932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-3.2483024408148285E-2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89</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2</v>
      </c>
      <c r="AA10" s="332">
        <f>IF(ISNUMBER(Datos!L10),Datos!L10,"-")</f>
        <v>89</v>
      </c>
      <c r="AB10" s="334"/>
      <c r="AC10" s="334"/>
      <c r="AD10" s="484"/>
      <c r="AE10" s="484">
        <f>IF(ISNUMBER(Datos!R10),Datos!R10," - ")</f>
        <v>44</v>
      </c>
      <c r="AF10" s="229" t="str">
        <f>IF(ISNUMBER(Datos!BV10),Datos!BV10," - ")</f>
        <v xml:space="preserve"> - </v>
      </c>
      <c r="AG10" s="225" t="str">
        <f>IF(ISNUMBER(Datos!DV10),Datos!DV10," - ")</f>
        <v xml:space="preserve"> - </v>
      </c>
      <c r="AH10" s="298"/>
      <c r="AI10" s="227"/>
      <c r="AJ10" s="225">
        <f>IF(ISNUMBER(Datos!M10),Datos!M10," - ")</f>
        <v>5</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6.5925925925925926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545</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-4.21792618629174E-2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89</v>
      </c>
      <c r="G13" s="898">
        <f>SUBTOTAL(9,G8:G12)</f>
        <v>89</v>
      </c>
      <c r="H13" s="908"/>
      <c r="I13" s="898">
        <f t="shared" ref="I13:N13" si="0">SUBTOTAL(9,I8:I12)</f>
        <v>0</v>
      </c>
      <c r="J13" s="867">
        <f t="shared" si="0"/>
        <v>0</v>
      </c>
      <c r="K13" s="908">
        <f t="shared" si="0"/>
        <v>0</v>
      </c>
      <c r="L13" s="908">
        <f t="shared" si="0"/>
        <v>0</v>
      </c>
      <c r="M13" s="908">
        <f t="shared" si="0"/>
        <v>0</v>
      </c>
      <c r="N13" s="908">
        <f t="shared" si="0"/>
        <v>369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747</v>
      </c>
      <c r="AA13" s="900">
        <f t="shared" si="2"/>
        <v>89</v>
      </c>
      <c r="AB13" s="900">
        <f t="shared" si="2"/>
        <v>0</v>
      </c>
      <c r="AC13" s="900">
        <f t="shared" si="2"/>
        <v>0</v>
      </c>
      <c r="AD13" s="900">
        <f t="shared" si="2"/>
        <v>0</v>
      </c>
      <c r="AE13" s="900">
        <f t="shared" si="2"/>
        <v>11133</v>
      </c>
      <c r="AF13" s="908">
        <f t="shared" si="2"/>
        <v>0</v>
      </c>
      <c r="AG13" s="908">
        <f t="shared" si="2"/>
        <v>0</v>
      </c>
      <c r="AH13" s="908">
        <f t="shared" si="2"/>
        <v>0</v>
      </c>
      <c r="AI13" s="908">
        <f t="shared" si="2"/>
        <v>0</v>
      </c>
      <c r="AJ13" s="908">
        <f t="shared" si="2"/>
        <v>462</v>
      </c>
      <c r="AK13" s="908">
        <f t="shared" si="2"/>
        <v>1224</v>
      </c>
      <c r="AL13" s="908">
        <f t="shared" si="2"/>
        <v>0</v>
      </c>
      <c r="AM13" s="908">
        <f t="shared" si="2"/>
        <v>0</v>
      </c>
      <c r="AN13" s="908">
        <f t="shared" si="2"/>
        <v>0</v>
      </c>
      <c r="AO13" s="904">
        <f>IF(ISNUMBER(((NºAsuntos!I13/NºAsuntos!G13)*11)/factor_trimestre),((NºAsuntos!I13/NºAsuntos!G13)*11)/factor_trimestre," - ")</f>
        <v>9.1711191335740079</v>
      </c>
      <c r="AP13" s="910" t="str">
        <f>IF(ISNUMBER(Datos!CI13/Datos!CJ13),Datos!CI13/Datos!CJ13," - ")</f>
        <v xml:space="preserve"> - </v>
      </c>
      <c r="AQ13" s="928">
        <f t="shared" ref="AQ13:AV13" si="3">SUBTOTAL(9,AQ9:AQ12)</f>
        <v>0</v>
      </c>
      <c r="AR13" s="928">
        <f t="shared" si="3"/>
        <v>-7.4662286271065692E-2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2572</v>
      </c>
      <c r="G15" s="225">
        <f>IF(ISNUMBER(IF(D_I="SI",Datos!I15,Datos!I15+Datos!AC15)),IF(D_I="SI",Datos!I15,Datos!I15+Datos!AC15)," - ")</f>
        <v>2563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2927</v>
      </c>
      <c r="Z15" s="619">
        <f>IF(ISNUMBER(Datos!Q15),Datos!Q15," - ")</f>
        <v>58</v>
      </c>
      <c r="AA15" s="332">
        <f>IF(ISNUMBER(IF(D_I="SI",Datos!L15,Datos!L15+Datos!AF15)),IF(D_I="SI",Datos!L15,Datos!L15+Datos!AF15)," - ")</f>
        <v>2534</v>
      </c>
      <c r="AB15" s="334"/>
      <c r="AC15" s="334"/>
      <c r="AD15" s="484"/>
      <c r="AE15" s="484">
        <f>IF(ISNUMBER(Datos!R15),Datos!R15," - ")</f>
        <v>555</v>
      </c>
      <c r="AF15" s="229" t="str">
        <f>IF(ISNUMBER(Datos!BV15),Datos!BV15," - ")</f>
        <v xml:space="preserve"> - </v>
      </c>
      <c r="AG15" s="225"/>
      <c r="AH15" s="298"/>
      <c r="AI15" s="227"/>
      <c r="AJ15" s="225">
        <f>IF(ISNUMBER(Datos!M15),Datos!M15," - ")</f>
        <v>276</v>
      </c>
      <c r="AK15" s="229">
        <f>IF(ISNUMBER(Datos!N15),Datos!N15," - ")</f>
        <v>2208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1.7314656645029041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8</v>
      </c>
      <c r="AB16" s="334"/>
      <c r="AC16" s="334"/>
      <c r="AD16" s="484"/>
      <c r="AE16" s="484">
        <f>IF(ISNUMBER(Datos!R16),Datos!R16," - ")</f>
        <v>2</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248</v>
      </c>
      <c r="Z17" s="619">
        <f>IF(ISNUMBER(Datos!Q17),Datos!Q17," - ")</f>
        <v>16</v>
      </c>
      <c r="AA17" s="332">
        <f>IF(ISNUMBER(Datos!L17),Datos!L17,"-")</f>
        <v>265</v>
      </c>
      <c r="AB17" s="334"/>
      <c r="AC17" s="334"/>
      <c r="AD17" s="484"/>
      <c r="AE17" s="484">
        <f>IF(ISNUMBER(Datos!R17),Datos!R17," - ")</f>
        <v>33</v>
      </c>
      <c r="AF17" s="229" t="str">
        <f>IF(ISNUMBER(Datos!BV17),Datos!BV17," - ")</f>
        <v xml:space="preserve"> - </v>
      </c>
      <c r="AG17" s="225" t="str">
        <f>IF(ISNUMBER(Datos!DV17),Datos!DV17," - ")</f>
        <v xml:space="preserve"> - </v>
      </c>
      <c r="AH17" s="298"/>
      <c r="AI17" s="227"/>
      <c r="AJ17" s="225">
        <f>IF(ISNUMBER(Datos!M17),Datos!M17," - ")</f>
        <v>61</v>
      </c>
      <c r="AK17" s="229">
        <f>IF(ISNUMBER(Datos!N17),Datos!N17," - ")</f>
        <v>113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2.1370967741935485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2580</v>
      </c>
      <c r="G18" s="898">
        <f>SUBTOTAL(9,G15:G17)</f>
        <v>2800</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3175</v>
      </c>
      <c r="Z18" s="932">
        <f t="shared" si="5"/>
        <v>74</v>
      </c>
      <c r="AA18" s="932">
        <f t="shared" si="5"/>
        <v>2807</v>
      </c>
      <c r="AB18" s="932">
        <f t="shared" si="5"/>
        <v>0</v>
      </c>
      <c r="AC18" s="932">
        <f t="shared" si="5"/>
        <v>0</v>
      </c>
      <c r="AD18" s="932">
        <f t="shared" si="5"/>
        <v>0</v>
      </c>
      <c r="AE18" s="932">
        <f t="shared" si="5"/>
        <v>590</v>
      </c>
      <c r="AF18" s="932">
        <f t="shared" si="5"/>
        <v>0</v>
      </c>
      <c r="AG18" s="932">
        <f t="shared" si="5"/>
        <v>0</v>
      </c>
      <c r="AH18" s="932">
        <f t="shared" si="5"/>
        <v>0</v>
      </c>
      <c r="AI18" s="932">
        <f t="shared" si="5"/>
        <v>0</v>
      </c>
      <c r="AJ18" s="932">
        <f t="shared" si="5"/>
        <v>337</v>
      </c>
      <c r="AK18" s="932">
        <f t="shared" si="5"/>
        <v>2321</v>
      </c>
      <c r="AL18" s="932">
        <f t="shared" si="5"/>
        <v>0</v>
      </c>
      <c r="AM18" s="932">
        <f t="shared" si="5"/>
        <v>0</v>
      </c>
      <c r="AN18" s="932">
        <f t="shared" si="5"/>
        <v>0</v>
      </c>
      <c r="AO18" s="934">
        <f>IF(ISNUMBER(((NºAsuntos!I18/NºAsuntos!G18)*11)/factor_trimestre),((NºAsuntos!I18/NºAsuntos!G18)*11)/factor_trimestre," - ")</f>
        <v>1.7681889763779528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2669</v>
      </c>
      <c r="G19" s="820">
        <f t="shared" si="7"/>
        <v>2889</v>
      </c>
      <c r="H19" s="821">
        <f t="shared" si="7"/>
        <v>0</v>
      </c>
      <c r="I19" s="820">
        <f t="shared" si="7"/>
        <v>0</v>
      </c>
      <c r="J19" s="822">
        <f t="shared" si="7"/>
        <v>0</v>
      </c>
      <c r="K19" s="820">
        <f t="shared" si="7"/>
        <v>0</v>
      </c>
      <c r="L19" s="823">
        <f t="shared" si="7"/>
        <v>0</v>
      </c>
      <c r="M19" s="820">
        <f t="shared" si="7"/>
        <v>0</v>
      </c>
      <c r="N19" s="821">
        <f t="shared" si="7"/>
        <v>470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3202</v>
      </c>
      <c r="Z19" s="827">
        <f t="shared" si="8"/>
        <v>821</v>
      </c>
      <c r="AA19" s="828">
        <f t="shared" si="8"/>
        <v>2896</v>
      </c>
      <c r="AB19" s="828">
        <f t="shared" si="8"/>
        <v>0</v>
      </c>
      <c r="AC19" s="828">
        <f t="shared" si="8"/>
        <v>0</v>
      </c>
      <c r="AD19" s="829">
        <f t="shared" si="8"/>
        <v>0</v>
      </c>
      <c r="AE19" s="829">
        <f t="shared" si="8"/>
        <v>11723</v>
      </c>
      <c r="AF19" s="830">
        <f t="shared" si="8"/>
        <v>0</v>
      </c>
      <c r="AG19" s="831">
        <f t="shared" si="8"/>
        <v>0</v>
      </c>
      <c r="AH19" s="832">
        <f t="shared" si="8"/>
        <v>0</v>
      </c>
      <c r="AI19" s="830">
        <f t="shared" si="8"/>
        <v>0</v>
      </c>
      <c r="AJ19" s="820">
        <f t="shared" si="8"/>
        <v>799</v>
      </c>
      <c r="AK19" s="820">
        <f t="shared" si="8"/>
        <v>3545</v>
      </c>
      <c r="AL19" s="820">
        <f t="shared" si="8"/>
        <v>0</v>
      </c>
      <c r="AM19" s="833">
        <f t="shared" si="8"/>
        <v>0</v>
      </c>
      <c r="AN19" s="823">
        <f>IF(ISNUMBER(Datos!K19/Datos!J19),Datos!K19/Datos!J19," - ")</f>
        <v>0.94204527211430411</v>
      </c>
      <c r="AO19" s="823">
        <f>IF(ISNUMBER(FIND("06",Criterios!A8,1)),(IF(ISNUMBER(((Datos!R19/Datos!Q19)*11)/factor_trimestre),((Datos!R19/Datos!Q19)*11)/factor_trimestre," - ")),(IF(ISNUMBER(((Datos!L19/Datos!K19)*11)/factor_trimestre),((Datos!L19/Datos!K19)*11)/factor_trimestre," - ")))</f>
        <v>5.180299931833674</v>
      </c>
      <c r="AP19" s="834" t="str">
        <f>IF(ISNUMBER(Datos!CI19/Datos!CJ19),Datos!CI19/Datos!CJ19," - ")</f>
        <v xml:space="preserve"> - </v>
      </c>
      <c r="AQ19" s="834">
        <f>IF(OR(ISNUMBER(FIND("01",Criterios!A8,1)),ISNUMBER(FIND("02",Criterios!A8,1)),ISNUMBER(FIND("03",Criterios!A8,1)),ISNUMBER(FIND("04",Criterios!A8,1))),(J19-Y19+K19)/(F19-K19),(I19-Y19+K19)/(F19-K19))</f>
        <v>-1.1997002622705133</v>
      </c>
      <c r="AR19" s="834">
        <f>IF(ISNUMBER((Datos!P19-Datos!Q19+O19)/(Datos!R19-Datos!P19+Datos!Q19-O19)),(Datos!P19-Datos!Q19+O19)/(Datos!R19-Datos!P19+Datos!Q19-O19)," - ")</f>
        <v>-2.9070730495279112E-2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1377.3744225881355</v>
      </c>
      <c r="G21" s="552">
        <f>IF(ISNUMBER(STDEV(G8:G18)),STDEV(G8:G18),"-")</f>
        <v>1335.1480816748381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205.83748790871752</v>
      </c>
      <c r="AK21" s="252"/>
      <c r="AL21" s="252">
        <f>IF(ISNUMBER(STDEV(AL8:AL18)),STDEV(AL8:AL18),"-")</f>
        <v>0</v>
      </c>
      <c r="AM21" s="254">
        <f>IF(ISNUMBER(STDEV(AM8:AM18)),STDEV(AM8:AM18),"-")</f>
        <v>0</v>
      </c>
      <c r="AN21" s="539">
        <f>IF(ISNUMBER(STDEV(AN8:AN18)),STDEV(AN8:AN18),"-")</f>
        <v>0</v>
      </c>
      <c r="AO21" s="540">
        <f>IF(ISNUMBER(STDEV(AO8:AO18)),STDEV(AO8:AO18),"-")</f>
        <v>3.8556682341739856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0hlMNPN2Xy++C7QEb8ZD8nD2bKYomzMTm8TSIWVjgfMwG8L1+dvzRGd1qtmb0s3OowgkanSw8adrodBSzXc+Q==" saltValue="okGJctZ9YWPnCetWMoWN8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Ekwaz1/lFdpBFmkdE/9RNz+thLCFDi8Y605+11JFPdJ5UjxXH0fipgbgya5IfSQ/A0AY7K6qVjUNsPSr4Fzpw==" saltValue="/7TdjvHMm3W+jQEh+x8F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HjB+QBfqspFtnV4Vn0p28Nvbm1Ya6ppyyXOqCHqGsk3ugSdBMDsERPbVaU8TP5r/JaEdY/6UM1hw5AOUy6Yfw==" saltValue="ovZ4CpdeVf7GhJyI3y32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0.16678700361010831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0.11793622126649277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xcj4Dds/OkCvMlY0fXRb644UTewtVv/kjEdsCxupwa/wwe+m7m2LL2A8OOt+HULdxQp2FYq4DoHtiHjNepvBA==" saltValue="kzr1RESZ9qfxglIpelEN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7oLf5racm76A0v79p/0TtNbMEyR+gHFgpUvGeD0Jk0cFBlPdFdcDUGKmCYjb2igYJiJWanakpEUZ6A+1I5aaYA==" saltValue="tPpcOM8om0lEZiGFhOTc6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 BARTOLOME DE TIRAJANA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12497</v>
      </c>
      <c r="D9" s="404">
        <f>IF(ISNUMBER(C9/Datos!BH9),C9/Datos!BH9," - ")</f>
        <v>2499.4</v>
      </c>
      <c r="E9" s="403">
        <f>IF(ISNUMBER(IF(J_V="SI",Datos!J9,Datos!J9+Datos!Z9)),IF(J_V="SI",Datos!J9,Datos!J9+Datos!Z9)," - ")</f>
        <v>3100</v>
      </c>
      <c r="F9" s="404">
        <f>IF(ISNUMBER(E9/B9),E9/B9," - ")</f>
        <v>620</v>
      </c>
      <c r="G9" s="403">
        <f>IF(ISNUMBER(IF(J_V="SI",Datos!K9,Datos!K9+Datos!AA9)),IF(J_V="SI",Datos!K9,Datos!K9+Datos!AA9)," - ")</f>
        <v>2740</v>
      </c>
      <c r="H9" s="404">
        <f>IF(ISNUMBER(G9/B9),G9/B9," - ")</f>
        <v>548</v>
      </c>
      <c r="I9" s="403">
        <f>IF(ISNUMBER(IF(J_V="SI",Datos!L9,Datos!L9+Datos!AB9)),IF(J_V="SI",Datos!L9,Datos!L9+Datos!AB9)," - ")</f>
        <v>12613</v>
      </c>
      <c r="J9" s="404">
        <f>IF(ISNUMBER(I9/B9),I9/B9," - ")</f>
        <v>2522.6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27</v>
      </c>
      <c r="F10" s="404">
        <f>IF(ISNUMBER(E10/B10),E10/B10," - ")</f>
        <v>27</v>
      </c>
      <c r="G10" s="403">
        <f>IF(ISNUMBER(Datos!K10),Datos!K10," - ")</f>
        <v>27</v>
      </c>
      <c r="H10" s="404">
        <f>IF(ISNUMBER(G10/B10),G10/B10," - ")</f>
        <v>27</v>
      </c>
      <c r="I10" s="403">
        <f>IF(ISNUMBER(Datos!L10),Datos!L10," - ")</f>
        <v>89</v>
      </c>
      <c r="J10" s="404">
        <f>IF(ISNUMBER(I10/B10),I10/B10," - ")</f>
        <v>89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5</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3</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12591</v>
      </c>
      <c r="D13" s="850" t="str">
        <f>IF(ISNUMBER(C13/Datos!BI13),C13/Datos!BI13," - ")</f>
        <v xml:space="preserve"> - </v>
      </c>
      <c r="E13" s="849">
        <f>SUBTOTAL(9,E8:E12)</f>
        <v>3127</v>
      </c>
      <c r="F13" s="850">
        <f>IF(ISNUMBER(E13/B13),E13/B13," - ")</f>
        <v>521.16666666666663</v>
      </c>
      <c r="G13" s="849">
        <f>SUBTOTAL(9,G8:G12)</f>
        <v>2770</v>
      </c>
      <c r="H13" s="850">
        <f>IF(ISNUMBER(G13/B13),G13/B13," - ")</f>
        <v>461.66666666666669</v>
      </c>
      <c r="I13" s="849">
        <f>SUBTOTAL(9,I8:I12)</f>
        <v>12702</v>
      </c>
      <c r="J13" s="850">
        <f>IF(ISNUMBER(I13/B13),I13/B13," - ")</f>
        <v>2117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2563</v>
      </c>
      <c r="D15" s="404">
        <f>IF(ISNUMBER(C15/Datos!BH15),C15/Datos!BH15," - ")</f>
        <v>854.33333333333337</v>
      </c>
      <c r="E15" s="403">
        <f>IF(ISNUMBER(IF(D_I="SI",Datos!J15,Datos!J15+Datos!AD15)),IF(D_I="SI",Datos!J15,Datos!J15+Datos!AD15)," - ")</f>
        <v>2889</v>
      </c>
      <c r="F15" s="404">
        <f>IF(ISNUMBER(E15/B15),E15/B15," - ")</f>
        <v>963</v>
      </c>
      <c r="G15" s="403">
        <f>IF(ISNUMBER(IF(D_I="SI",Datos!K15,Datos!K15+Datos!AE15)),IF(D_I="SI",Datos!K15,Datos!K15+Datos!AE15)," - ")</f>
        <v>2927</v>
      </c>
      <c r="H15" s="404">
        <f>IF(ISNUMBER(G15/B15),G15/B15," - ")</f>
        <v>975.66666666666663</v>
      </c>
      <c r="I15" s="403">
        <f>IF(ISNUMBER(IF(D_I="SI",Datos!L15,Datos!L15+Datos!AF15)),IF(D_I="SI",Datos!L15,Datos!L15+Datos!AF15)," - ")</f>
        <v>2534</v>
      </c>
      <c r="J15" s="404">
        <f>IF(ISNUMBER(I15/B15),I15/B15," - ")</f>
        <v>844.66666666666663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229</v>
      </c>
      <c r="D17" s="404">
        <f>IF(ISNUMBER(C17/Datos!BH17),C17/Datos!BH17," - ")</f>
        <v>229</v>
      </c>
      <c r="E17" s="403">
        <f>IF(ISNUMBER(IF(D_I="SI",Datos!J17,Datos!J17+Datos!AD17)),IF(D_I="SI",Datos!J17,Datos!J17+Datos!AD17)," - ")</f>
        <v>283</v>
      </c>
      <c r="F17" s="404">
        <f>IF(ISNUMBER(E17/B17),E17/B17," - ")</f>
        <v>283</v>
      </c>
      <c r="G17" s="403">
        <f>IF(ISNUMBER(IF(D_I="SI",Datos!K17,Datos!K17+Datos!AE17)),IF(D_I="SI",Datos!K17,Datos!K17+Datos!AE17)," - ")</f>
        <v>248</v>
      </c>
      <c r="H17" s="404">
        <f>IF(ISNUMBER(G17/B17),G17/B17," - ")</f>
        <v>248</v>
      </c>
      <c r="I17" s="403">
        <f>IF(ISNUMBER(IF(D_I="SI",Datos!L17,Datos!L17+Datos!AF17)),IF(D_I="SI",Datos!L17,Datos!L17+Datos!AF17)," - ")</f>
        <v>265</v>
      </c>
      <c r="J17" s="404">
        <f>IF(ISNUMBER(I17/B17),I17/B17," - ")</f>
        <v>265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2800</v>
      </c>
      <c r="D18" s="850" t="str">
        <f>IF(ISNUMBER(C18/Datos!BI18),C18/Datos!BI18," - ")</f>
        <v xml:space="preserve"> - </v>
      </c>
      <c r="E18" s="849">
        <f>SUBTOTAL(9,E14:E17)</f>
        <v>3172</v>
      </c>
      <c r="F18" s="850">
        <f>IF(ISNUMBER(E18/B18),E18/B18," - ")</f>
        <v>793</v>
      </c>
      <c r="G18" s="849">
        <f>SUBTOTAL(9,G14:G17)</f>
        <v>3175</v>
      </c>
      <c r="H18" s="850">
        <f>IF(ISNUMBER(G18/B18),G18/B18," - ")</f>
        <v>793.75</v>
      </c>
      <c r="I18" s="849">
        <f>SUBTOTAL(9,I14:I17)</f>
        <v>2807</v>
      </c>
      <c r="J18" s="850">
        <f>IF(ISNUMBER(I18/B18),I18/B18," - ")</f>
        <v>701.75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15391</v>
      </c>
      <c r="D19" s="795" t="str">
        <f>IF(ISNUMBER(C19/Datos!BI19),C19/Datos!BI19," - ")</f>
        <v xml:space="preserve"> - </v>
      </c>
      <c r="E19" s="794">
        <f>SUBTOTAL(9,E9:E18)</f>
        <v>6299</v>
      </c>
      <c r="F19" s="795">
        <f>IF(ISNUMBER(E19/B19),E19/B19," - ")</f>
        <v>699.88888888888891</v>
      </c>
      <c r="G19" s="794">
        <f>SUBTOTAL(9,G9:G18)</f>
        <v>5945</v>
      </c>
      <c r="H19" s="795">
        <f>IF(ISNUMBER(G19/B19),G19/B19," - ")</f>
        <v>660.55555555555554</v>
      </c>
      <c r="I19" s="794">
        <f>SUBTOTAL(9,I9:I18)</f>
        <v>15509</v>
      </c>
      <c r="J19" s="795">
        <f>IF(ISNUMBER(I19/B19),I19/B19," - ")</f>
        <v>1723.2222222222222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jsh7lJ9as9uUNQxrt9XLALt29gLjSXcU2H4nBAzRG/XLMaVz12KPRVRIakBZAecH9qm5QklQAMNNmJeOBlU1g==" saltValue="2sw4lWBj6mysWI1QWfAF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89</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89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6.5925925925925926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-4.21792618629174E-2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89</v>
      </c>
      <c r="G13" s="938">
        <f t="shared" si="0"/>
        <v>89</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24</v>
      </c>
      <c r="AE13" s="939">
        <f t="shared" si="1"/>
        <v>0</v>
      </c>
      <c r="AF13" s="939">
        <f t="shared" si="1"/>
        <v>89</v>
      </c>
      <c r="AG13" s="939">
        <f t="shared" si="1"/>
        <v>0</v>
      </c>
      <c r="AH13" s="939">
        <f t="shared" si="1"/>
        <v>545</v>
      </c>
      <c r="AI13" s="939">
        <f t="shared" si="1"/>
        <v>0</v>
      </c>
      <c r="AJ13" s="939">
        <f t="shared" si="1"/>
        <v>0</v>
      </c>
      <c r="AK13" s="939">
        <f t="shared" si="1"/>
        <v>0</v>
      </c>
      <c r="AL13" s="939">
        <f t="shared" si="1"/>
        <v>5</v>
      </c>
      <c r="AM13" s="939">
        <f t="shared" si="1"/>
        <v>10</v>
      </c>
      <c r="AN13" s="939">
        <f t="shared" si="1"/>
        <v>0</v>
      </c>
      <c r="AO13" s="939">
        <f t="shared" si="1"/>
        <v>0</v>
      </c>
      <c r="AP13" s="944">
        <f>IF(ISNUMBER(((Datos!L13/Datos!K13)*11)/factor_trimestre),((Datos!L13/Datos!K13)*11)/factor_trimestre," - ")</f>
        <v>9.2031191979205342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-0.30337078651685395</v>
      </c>
      <c r="AU13" s="939" t="str">
        <f>IF(ISNUMBER((DatosP!#REF!-DatosP!#REF!+DatosP!#REF!)/(DatosP!#REF!+DatosP!#REF!-DatosP!#REF!-DatosP!#REF!)),(DatosP!#REF!-DatosP!#REF!+DatosP!#REF!)/(DatosP!#REF!+DatosP!#REF!-DatosP!#REF!-DatosP!#REF!)," - ")</f>
        <v xml:space="preserve"> - </v>
      </c>
      <c r="AV13" s="945">
        <f>SUBTOTAL(9,AV9:AV12)</f>
        <v>-4.21792618629174E-2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1.7681889763779528</v>
      </c>
      <c r="AQ18" s="944">
        <f>IF(ISNUMBER(((Datos!M18/Datos!L18)*11)/factor_trimestre),((Datos!M18/Datos!L18)*11)/factor_trimestre," - ")</f>
        <v>0.24011400071250447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4.7957371225577264E-2</v>
      </c>
      <c r="AW18" s="946">
        <f>IF(ISNUMBER((Datos!Q18-Datos!R18)/(Datos!S18-Datos!Q18+Datos!R18)),(Datos!Q18-Datos!R18)/(Datos!S18-Datos!Q18+Datos!R18)," - ")</f>
        <v>-0.15537488708220415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89</v>
      </c>
      <c r="G19" s="951">
        <f t="shared" si="4"/>
        <v>89</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24</v>
      </c>
      <c r="AE19" s="957">
        <f t="shared" si="5"/>
        <v>0</v>
      </c>
      <c r="AF19" s="958">
        <f t="shared" si="5"/>
        <v>89</v>
      </c>
      <c r="AG19" s="958">
        <f t="shared" si="5"/>
        <v>0</v>
      </c>
      <c r="AH19" s="958">
        <f t="shared" si="5"/>
        <v>545</v>
      </c>
      <c r="AI19" s="958">
        <f t="shared" si="5"/>
        <v>0</v>
      </c>
      <c r="AJ19" s="959">
        <f t="shared" si="5"/>
        <v>0</v>
      </c>
      <c r="AK19" s="959">
        <f t="shared" si="5"/>
        <v>0</v>
      </c>
      <c r="AL19" s="951">
        <f t="shared" si="5"/>
        <v>5</v>
      </c>
      <c r="AM19" s="951">
        <f t="shared" si="5"/>
        <v>10</v>
      </c>
      <c r="AN19" s="951">
        <f t="shared" si="5"/>
        <v>0</v>
      </c>
      <c r="AO19" s="951">
        <f t="shared" si="5"/>
        <v>0</v>
      </c>
      <c r="AP19" s="951">
        <f>IF(ISNUMBER(((Datos!L19/Datos!K19)*11)/factor_trimestre),((Datos!L19/Datos!K19)*11)/factor_trimestre," - ")</f>
        <v>5.180299931833674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-0.30337078651685395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-2.9070730495279112E-2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51.384173957876691</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2.8867513459481291</v>
      </c>
      <c r="AM21" s="736"/>
      <c r="AN21" s="736">
        <f>IF(ISNUMBER(STDEV(AN8:AN18)),STDEV(AN8:AN18),"-")</f>
        <v>0</v>
      </c>
      <c r="AO21" s="742">
        <f>IF(ISNUMBER(STDEV(AO8:AO18)),STDEV(AO8:AO18),"-")</f>
        <v>0</v>
      </c>
      <c r="AP21" s="779">
        <f>IF(ISNUMBER(STDEV(AP8:AP18)),STDEV(AP8:AP18),"-")</f>
        <v>4.2490594952265788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KbJqJqEzzngrTIquOkP1iDIvbcGqVSg6rqCuqz4D+QQ0Htxd8W5E54PimWSoOr3aqQQ3MUW3hzRv4y+ekIHww==" saltValue="kSH8pFwNi7rDRlv9n4Kf6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 BARTOLOME DE TIRAJANA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qG4kiqGLvIn5cTRvKBvealy5lqtWyOaRp4BCUOtRiKUesCP2qoA8CE/HpZHbkgrcmRr5yYEDKD4kKAF0nhkEA==" saltValue="DB4DQd/ILldfXt1PQenJ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 BARTOLOME DE TIRAJANA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457</v>
      </c>
      <c r="E9" s="404">
        <f t="shared" ref="E9:E13" si="0">IF(ISNUMBER(D9/B9),D9/B9," - ")</f>
        <v>91.4</v>
      </c>
      <c r="F9" s="403">
        <f>IF(ISNUMBER(Datos!N9),Datos!N9," - ")</f>
        <v>1214</v>
      </c>
      <c r="G9" s="404">
        <f t="shared" ref="G9:G13" si="1">IF(ISNUMBER(F9/B9),F9/B9," - ")</f>
        <v>242.8</v>
      </c>
      <c r="H9" s="403">
        <f>IF(ISNUMBER(Datos!O9),Datos!O9," - ")</f>
        <v>964</v>
      </c>
      <c r="I9" s="404">
        <f>IF(ISNUMBER(H9/B9),H9/B9," - ")</f>
        <v>192.8</v>
      </c>
      <c r="BZ9" s="1186">
        <f>Datos!EZ9</f>
        <v>0</v>
      </c>
    </row>
    <row r="10" spans="1:78">
      <c r="A10" s="402" t="str">
        <f>Datos!A10</f>
        <v>Jdos. Violencia contra la mujer</v>
      </c>
      <c r="B10" s="427">
        <f>Datos!AO10</f>
        <v>1</v>
      </c>
      <c r="C10" s="410">
        <f>Datos!AQ10</f>
        <v>1</v>
      </c>
      <c r="D10" s="403">
        <f>IF(ISNUMBER(Datos!M10),Datos!M10," - ")</f>
        <v>5</v>
      </c>
      <c r="E10" s="404">
        <f>IF(ISNUMBER(D10/B10),D10/B10," - ")</f>
        <v>5</v>
      </c>
      <c r="F10" s="403">
        <f>IF(ISNUMBER(Datos!N10),Datos!N10," - ")</f>
        <v>10</v>
      </c>
      <c r="G10" s="404">
        <f>IF(ISNUMBER(F10/B10),F10/B10," - ")</f>
        <v>10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462</v>
      </c>
      <c r="E13" s="850">
        <f t="shared" si="0"/>
        <v>77</v>
      </c>
      <c r="F13" s="849">
        <f>SUBTOTAL(9,F9:F12)</f>
        <v>1224</v>
      </c>
      <c r="G13" s="850">
        <f t="shared" si="1"/>
        <v>204</v>
      </c>
      <c r="H13" s="849">
        <f>SUBTOTAL(9,H9:H12)</f>
        <v>964</v>
      </c>
      <c r="I13" s="850">
        <f>IF(ISNUMBER(H13/B13),H13/B13," - ")</f>
        <v>160.66666666666666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276</v>
      </c>
      <c r="E15" s="404">
        <f t="shared" ref="E15:E18" si="3">IF(ISNUMBER(D15/B15),D15/B15," - ")</f>
        <v>92</v>
      </c>
      <c r="F15" s="403">
        <f>IF(ISNUMBER(Datos!N15),Datos!N15," - ")</f>
        <v>2208</v>
      </c>
      <c r="G15" s="404">
        <f t="shared" ref="G15:G18" si="4">IF(ISNUMBER(F15/B15),F15/B15," - ")</f>
        <v>736</v>
      </c>
      <c r="H15" s="403">
        <f>IF(ISNUMBER(Datos!O15),Datos!O15," - ")</f>
        <v>8</v>
      </c>
      <c r="I15" s="404">
        <f t="shared" ref="I15:I17" si="5">IF(ISNUMBER(H15/B15),H15/B15," - ")</f>
        <v>2.6666666666666665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61</v>
      </c>
      <c r="E17" s="404">
        <f>IF(ISNUMBER(D17/B17),D17/B17," - ")</f>
        <v>61</v>
      </c>
      <c r="F17" s="403">
        <f>IF(ISNUMBER(Datos!N17),Datos!N17," - ")</f>
        <v>113</v>
      </c>
      <c r="G17" s="404">
        <f>IF(ISNUMBER(F17/B17),F17/B17," - ")</f>
        <v>113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337</v>
      </c>
      <c r="E18" s="850">
        <f t="shared" si="3"/>
        <v>84.25</v>
      </c>
      <c r="F18" s="849">
        <f>SUBTOTAL(9,F15:F17)</f>
        <v>2321</v>
      </c>
      <c r="G18" s="850">
        <f t="shared" si="4"/>
        <v>580.25</v>
      </c>
      <c r="H18" s="849">
        <f>SUBTOTAL(9,H15:H17)</f>
        <v>8</v>
      </c>
      <c r="I18" s="850">
        <f>IF(ISNUMBER(H18/B18),H18/B18," - ")</f>
        <v>2</v>
      </c>
      <c r="BZ18" s="1186"/>
    </row>
    <row r="19" spans="1:78" ht="14.25" thickTop="1" thickBot="1">
      <c r="A19" s="793" t="str">
        <f>Datos!A19</f>
        <v>TOTAL JURISDICCIONES</v>
      </c>
      <c r="B19" s="794">
        <f>Datos!AP19</f>
        <v>9</v>
      </c>
      <c r="C19" s="794">
        <f>Datos!AR19</f>
        <v>9</v>
      </c>
      <c r="D19" s="794">
        <f>SUBTOTAL(9,D8:D18)</f>
        <v>799</v>
      </c>
      <c r="E19" s="795">
        <f>IF(ISNUMBER(D19/B19),D19/B19," - ")</f>
        <v>88.777777777777771</v>
      </c>
      <c r="F19" s="794">
        <f>SUBTOTAL(9,F8:F18)</f>
        <v>3545</v>
      </c>
      <c r="G19" s="795">
        <f>IF(ISNUMBER(F19/B19),F19/B19," - ")</f>
        <v>393.88888888888891</v>
      </c>
      <c r="H19" s="794">
        <f>SUBTOTAL(9,H8:H18)</f>
        <v>972</v>
      </c>
      <c r="I19" s="795">
        <f>IF(ISNUMBER(H19/B19),H19/B19," - ")</f>
        <v>108</v>
      </c>
    </row>
    <row r="22" spans="1:78">
      <c r="A22" s="391" t="str">
        <f>Criterios!A4</f>
        <v>Fecha Informe: 29 nov. 2024</v>
      </c>
    </row>
    <row r="27" spans="1:78">
      <c r="A27" s="414"/>
    </row>
  </sheetData>
  <sheetProtection algorithmName="SHA-512" hashValue="1VOooqrNrrMTo8FCCzjaohWK20rDyUInQO6tpqn5x4KmRoxywSpqbTGVayA8BvCnBvki8TGbUhHTm4GbFwi6lQ==" saltValue="t4WUff8zM5JMA8j1Wpx+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 BARTOLOME DE TIRAJANA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367</v>
      </c>
      <c r="C9" s="434">
        <f>IF(ISNUMBER(Datos!Q9),Datos!Q9," - ")</f>
        <v>721</v>
      </c>
      <c r="D9" s="408">
        <f>IF(ISNUMBER(Datos!R9),Datos!R9," - ")</f>
        <v>10544</v>
      </c>
    </row>
    <row r="10" spans="1:4">
      <c r="A10" s="402" t="str">
        <f>Datos!A10</f>
        <v>Jdos. Violencia contra la mujer</v>
      </c>
      <c r="B10" s="433">
        <f>IF(ISNUMBER(Datos!P10),Datos!P10," - ")</f>
        <v>2</v>
      </c>
      <c r="C10" s="434">
        <f>IF(ISNUMBER(Datos!Q10),Datos!Q10," - ")</f>
        <v>2</v>
      </c>
      <c r="D10" s="408">
        <f>IF(ISNUMBER(Datos!R10),Datos!R10," - ")</f>
        <v>44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24</v>
      </c>
      <c r="D12" s="408">
        <f>IF(ISNUMBER(Datos!R12),Datos!R12," - ")</f>
        <v>545</v>
      </c>
    </row>
    <row r="13" spans="1:4" ht="14.25" thickTop="1" thickBot="1">
      <c r="A13" s="848" t="str">
        <f>Datos!A13</f>
        <v>TOTAL</v>
      </c>
      <c r="B13" s="849">
        <f>SUBTOTAL(9,B9:B12)</f>
        <v>369</v>
      </c>
      <c r="C13" s="853">
        <f>SUBTOTAL(9,C9:C12)</f>
        <v>747</v>
      </c>
      <c r="D13" s="851">
        <f>SUBTOTAL(9,D9:D12)</f>
        <v>11133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88</v>
      </c>
      <c r="C15" s="434">
        <f>IF(ISNUMBER(Datos!Q15),Datos!Q15," - ")</f>
        <v>58</v>
      </c>
      <c r="D15" s="408">
        <f>IF(ISNUMBER(Datos!R15),Datos!R15," - ")</f>
        <v>555</v>
      </c>
    </row>
    <row r="16" spans="1:4">
      <c r="A16" s="402" t="str">
        <f>Datos!A16</f>
        <v xml:space="preserve">Jdos. 1ª Instª. e Instr.                        </v>
      </c>
      <c r="B16" s="433">
        <f>IF(ISNUMBER(Datos!P16),Datos!P16," - ")</f>
        <v>0</v>
      </c>
      <c r="C16" s="434">
        <f>IF(ISNUMBER(Datos!Q16),Datos!Q16," - ")</f>
        <v>0</v>
      </c>
      <c r="D16" s="408">
        <f>IF(ISNUMBER(Datos!R16),Datos!R16," - ")</f>
        <v>2</v>
      </c>
    </row>
    <row r="17" spans="1:4" ht="13.5" thickBot="1">
      <c r="A17" s="402" t="str">
        <f>Datos!A17</f>
        <v>Jdos. Violencia contra la mujer</v>
      </c>
      <c r="B17" s="433">
        <f>IF(ISNUMBER(Datos!P17),Datos!P17," - ")</f>
        <v>13</v>
      </c>
      <c r="C17" s="434">
        <f>IF(ISNUMBER(Datos!Q17),Datos!Q17," - ")</f>
        <v>16</v>
      </c>
      <c r="D17" s="408">
        <f>IF(ISNUMBER(Datos!R17),Datos!R17," - ")</f>
        <v>33</v>
      </c>
    </row>
    <row r="18" spans="1:4" ht="14.25" thickTop="1" thickBot="1">
      <c r="A18" s="848" t="str">
        <f>Datos!A18</f>
        <v>TOTAL</v>
      </c>
      <c r="B18" s="849">
        <f>SUBTOTAL(9,B15:B17)</f>
        <v>101</v>
      </c>
      <c r="C18" s="853">
        <f>SUBTOTAL(9,C15:C17)</f>
        <v>74</v>
      </c>
      <c r="D18" s="851">
        <f>SUBTOTAL(9,D15:D17)</f>
        <v>590</v>
      </c>
    </row>
    <row r="19" spans="1:4" ht="16.5" customHeight="1" thickTop="1" thickBot="1">
      <c r="A19" s="793" t="str">
        <f>Datos!A19</f>
        <v>TOTAL JURISDICCIONES</v>
      </c>
      <c r="B19" s="798">
        <f>SUBTOTAL(9,B8:B18)</f>
        <v>470</v>
      </c>
      <c r="C19" s="799">
        <f>SUBTOTAL(9,C8:C18)</f>
        <v>821</v>
      </c>
      <c r="D19" s="800">
        <f>SUBTOTAL(9,D8:D18)</f>
        <v>11723</v>
      </c>
    </row>
    <row r="20" spans="1:4" ht="7.5" customHeight="1"/>
    <row r="21" spans="1:4" ht="6" customHeight="1"/>
    <row r="22" spans="1:4">
      <c r="A22" s="391" t="str">
        <f>Criterios!A4</f>
        <v>Fecha Informe: 29 nov. 2024</v>
      </c>
    </row>
    <row r="27" spans="1:4">
      <c r="A27" s="414"/>
    </row>
  </sheetData>
  <sheetProtection algorithmName="SHA-512" hashValue="JL4wGT5+W80fcpSFZF9oPDprytH3I7vLMOM/5rQlKyqkYdL+uED3WBzXSzue4WURR7WwiqEqws7yrXH9VopvSw==" saltValue="lBel02xLuodcGcH4dFW5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 BARTOLOME DE TIRAJANA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0.23159554548142308</v>
      </c>
      <c r="C9" s="456">
        <f>IF(ISNUMBER(
   IF(J_V="SI",(Datos!J9-Datos!T9)/Datos!T9,(Datos!J9+Datos!Z9-(Datos!T9+Datos!AH9))/(Datos!T9+Datos!AH9))
     ),IF(J_V="SI",(Datos!J9-Datos!T9)/Datos!T9,(Datos!J9+Datos!Z9-(Datos!T9+Datos!AH9))/(Datos!T9+Datos!AH9))," - ")</f>
        <v>0.11270638908829864</v>
      </c>
      <c r="D9" s="456">
        <f>IF(ISNUMBER(
   IF(J_V="SI",(Datos!K9-Datos!U9)/Datos!U9,(Datos!K9+Datos!AA9-(Datos!U9+Datos!AI9))/(Datos!U9+Datos!AI9))
     ),IF(J_V="SI",(Datos!K9-Datos!U9)/Datos!U9,(Datos!K9+Datos!AA9-(Datos!U9+Datos!AI9))/(Datos!U9+Datos!AI9))," - ")</f>
        <v>-1.1544011544011544E-2</v>
      </c>
      <c r="E9" s="456">
        <f>IF(ISNUMBER(
   IF(J_V="SI",(Datos!L9-Datos!V9)/Datos!V9,(Datos!L9+Datos!AB9-(Datos!V9+Datos!AJ9))/(Datos!V9+Datos!AJ9))
     ),IF(J_V="SI",(Datos!L9-Datos!V9)/Datos!V9,(Datos!L9+Datos!AB9-(Datos!V9+Datos!AJ9))/(Datos!V9+Datos!AJ9))," - ")</f>
        <v>0.24131483121739986</v>
      </c>
      <c r="F9" s="456">
        <f>IF(ISNUMBER((Datos!M9-Datos!W9)/Datos!W9),(Datos!M9-Datos!W9)/Datos!W9," - ")</f>
        <v>0.30199430199430199</v>
      </c>
      <c r="G9" s="457">
        <f>IF(ISNUMBER((Datos!N9-Datos!X9)/Datos!X9),(Datos!N9-Datos!X9)/Datos!X9," - ")</f>
        <v>-0.31797752808988766</v>
      </c>
      <c r="H9" s="455">
        <f>IF(ISNUMBER(((NºAsuntos!G9/NºAsuntos!E9)-Datos!BD9)/Datos!BD9),((NºAsuntos!G9/NºAsuntos!E9)-Datos!BD9)/Datos!BD9," - ")</f>
        <v>-0.11166503747148902</v>
      </c>
      <c r="I9" s="456">
        <f>IF(ISNUMBER(((NºAsuntos!I9/NºAsuntos!G9)-Datos!BE9)/Datos!BE9),((NºAsuntos!I9/NºAsuntos!G9)-Datos!BE9)/Datos!BE9," - ")</f>
        <v>0.25581193873526725</v>
      </c>
      <c r="J9" s="461">
        <f>IF(ISNUMBER((('Resol  Asuntos'!D9/NºAsuntos!G9)-Datos!BF9)/Datos!BF9),(('Resol  Asuntos'!D9/NºAsuntos!G9)-Datos!BF9)/Datos!BF9," - ")</f>
        <v>-0.74025998523743131</v>
      </c>
      <c r="K9" s="462">
        <f>IF(ISNUMBER((((NºAsuntos!C9+NºAsuntos!E9)/NºAsuntos!G9)-Datos!BG9)/Datos!BG9),(((NºAsuntos!C9+NºAsuntos!E9)/NºAsuntos!G9)-Datos!BG9)/Datos!BG9," - ")</f>
        <v>0.22006918306081705</v>
      </c>
    </row>
    <row r="10" spans="1:11">
      <c r="A10" s="402" t="str">
        <f>Datos!A10</f>
        <v>Jdos. Violencia contra la mujer</v>
      </c>
      <c r="B10" s="455">
        <f>IF(ISNUMBER((Datos!I10-Datos!S10)/Datos!S10),(Datos!I10-Datos!S10)/Datos!S10," - ")</f>
        <v>3.4883720930232558E-2</v>
      </c>
      <c r="C10" s="456">
        <f>IF(ISNUMBER((Datos!J10-Datos!T10)/Datos!T10),(Datos!J10-Datos!T10)/Datos!T10," - ")</f>
        <v>0</v>
      </c>
      <c r="D10" s="456">
        <f>IF(ISNUMBER((Datos!K10-Datos!U10)/Datos!U10),(Datos!K10-Datos!U10)/Datos!U10," - ")</f>
        <v>3.8461538461538464E-2</v>
      </c>
      <c r="E10" s="456">
        <f>IF(ISNUMBER((Datos!L10-Datos!V10)/Datos!V10),(Datos!L10-Datos!V10)/Datos!V10," - ")</f>
        <v>2.2988505747126436E-2</v>
      </c>
      <c r="F10" s="456">
        <f>IF(ISNUMBER((Datos!M10-Datos!W10)/Datos!W10),(Datos!M10-Datos!W10)/Datos!W10," - ")</f>
        <v>-0.5</v>
      </c>
      <c r="G10" s="457">
        <f>IF(ISNUMBER((Datos!N10-Datos!X10)/Datos!X10),(Datos!N10-Datos!X10)/Datos!X10," - ")</f>
        <v>-0.16666666666666666</v>
      </c>
      <c r="H10" s="455">
        <f>IF(ISNUMBER(((NºAsuntos!G10/NºAsuntos!E10)-Datos!BD10)/Datos!BD10),((NºAsuntos!G10/NºAsuntos!E10)-Datos!BD10)/Datos!BD10," - ")</f>
        <v>3.8461538461538519E-2</v>
      </c>
      <c r="I10" s="456">
        <f>IF(ISNUMBER(((NºAsuntos!I10/NºAsuntos!G10)-Datos!BE10)/Datos!BE10),((NºAsuntos!I10/NºAsuntos!G10)-Datos!BE10)/Datos!BE10," - ")</f>
        <v>-1.4899957428693097E-2</v>
      </c>
      <c r="J10" s="461">
        <f>IF(ISNUMBER((('Resol  Asuntos'!D10/NºAsuntos!G10)-Datos!BF10)/Datos!BF10),(('Resol  Asuntos'!D10/NºAsuntos!G10)-Datos!BF10)/Datos!BF10," - ")</f>
        <v>-0.5185185185185186</v>
      </c>
      <c r="K10" s="462">
        <f>IF(ISNUMBER((((NºAsuntos!C10+NºAsuntos!E10)/NºAsuntos!G10)-Datos!BG10)/Datos!BG10),(((NºAsuntos!C10+NºAsuntos!E10)/NºAsuntos!G10)-Datos!BG10)/Datos!BG10," - ")</f>
        <v>-1.1471648639790057E-2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-0.16666666666666666</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0.22970993261060652</v>
      </c>
      <c r="C13" s="855">
        <f>IF(ISNUMBER(
   IF(J_V="SI",(Datos!J13-Datos!T13)/Datos!T13,(Datos!J13+Datos!Z13-(Datos!T13+Datos!AH13))/(Datos!T13+Datos!AH13))
     ),IF(J_V="SI",(Datos!J13-Datos!T13)/Datos!T13,(Datos!J13+Datos!Z13-(Datos!T13+Datos!AH13))/(Datos!T13+Datos!AH13))," - ")</f>
        <v>0.11162460007109846</v>
      </c>
      <c r="D13" s="855">
        <f>IF(ISNUMBER(
   IF(J_V="SI",(Datos!K13-Datos!U13)/Datos!U13,(Datos!K13+Datos!AA13-(Datos!U13+Datos!AI13))/(Datos!U13+Datos!AI13))
     ),IF(J_V="SI",(Datos!K13-Datos!U13)/Datos!U13,(Datos!K13+Datos!AA13-(Datos!U13+Datos!AI13))/(Datos!U13+Datos!AI13))," - ")</f>
        <v>-1.0007147962830594E-2</v>
      </c>
      <c r="E13" s="855">
        <f>IF(ISNUMBER(
   IF(J_V="SI",(Datos!L13-Datos!V13)/Datos!V13,(Datos!L13+Datos!AB13-(Datos!V13+Datos!AJ13))/(Datos!V13+Datos!AJ13))
     ),IF(J_V="SI",(Datos!L13-Datos!V13)/Datos!V13,(Datos!L13+Datos!AB13-(Datos!V13+Datos!AJ13))/(Datos!V13+Datos!AJ13))," - ")</f>
        <v>0.23873610298420128</v>
      </c>
      <c r="F13" s="856">
        <f>IF(ISNUMBER((Datos!M13-Datos!W13)/Datos!W13),(Datos!M13-Datos!W13)/Datos!W13," - ")</f>
        <v>0.27977839335180055</v>
      </c>
      <c r="G13" s="857">
        <f>IF(ISNUMBER((Datos!N13-Datos!X13)/Datos!X13),(Datos!N13-Datos!X13)/Datos!X13," - ")</f>
        <v>-0.3169642857142857</v>
      </c>
      <c r="H13" s="857">
        <f>IF(ISNUMBER(((NºAsuntos!G13/NºAsuntos!E13)-Datos!BD13)/Datos!BD13),((NºAsuntos!G13/NºAsuntos!E13)-Datos!BD13)/Datos!BD13," - ")</f>
        <v>-0.10941800678587858</v>
      </c>
      <c r="I13" s="857">
        <f>IF(ISNUMBER(((NºAsuntos!I13/NºAsuntos!G13)-Datos!BE13)/Datos!BE13),((NºAsuntos!I13/NºAsuntos!G13)-Datos!BE13)/Datos!BE13," - ")</f>
        <v>0.25125762315877087</v>
      </c>
      <c r="J13" s="857">
        <f>IF(ISNUMBER((('Resol  Asuntos'!D13/NºAsuntos!G13)-Datos!BF13)/Datos!BF13),(('Resol  Asuntos'!D13/NºAsuntos!G13)-Datos!BF13)/Datos!BF13," - ")</f>
        <v>-0.73929048262509323</v>
      </c>
      <c r="K13" s="857">
        <f>IF(ISNUMBER((((NºAsuntos!C13+NºAsuntos!E13)/NºAsuntos!G13)-Datos!BG13)/Datos!BG13),(((NºAsuntos!C13+NºAsuntos!E13)/NºAsuntos!G13)-Datos!BG13)/Datos!BG13," - ")</f>
        <v>0.21643290763632492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-4.721189591078067E-2</v>
      </c>
      <c r="C15" s="456">
        <f>IF(ISNUMBER(
   IF(D_I="SI",(Datos!J15-Datos!T15)/Datos!T15,(Datos!J15+Datos!AD15-(Datos!T15+Datos!AL15))/(Datos!T15+Datos!AL15))
     ),IF(D_I="SI",(Datos!J15-Datos!T15)/Datos!T15,(Datos!J15+Datos!AD15-(Datos!T15+Datos!AL15))/(Datos!T15+Datos!AL15))," - ")</f>
        <v>-6.5955383123181374E-2</v>
      </c>
      <c r="D15" s="456">
        <f>IF(ISNUMBER(
   IF(D_I="SI",(Datos!K15-Datos!U15)/Datos!U15,(Datos!K15+Datos!AE15-(Datos!U15+Datos!AM15))/(Datos!U15+Datos!AM15))
     ),IF(D_I="SI",(Datos!K15-Datos!U15)/Datos!U15,(Datos!K15+Datos!AE15-(Datos!U15+Datos!AM15))/(Datos!U15+Datos!AM15))," - ")</f>
        <v>-5.3363518758085385E-2</v>
      </c>
      <c r="E15" s="456">
        <f>IF(ISNUMBER(
   IF(D_I="SI",(Datos!L15-Datos!V15)/Datos!V15,(Datos!L15+Datos!AF15-(Datos!V15+Datos!AN15))/(Datos!V15+Datos!AN15))
     ),IF(D_I="SI",(Datos!L15-Datos!V15)/Datos!V15,(Datos!L15+Datos!AF15-(Datos!V15+Datos!AN15))/(Datos!V15+Datos!AN15))," - ")</f>
        <v>-5.8342623560014864E-2</v>
      </c>
      <c r="F15" s="456">
        <f>IF(ISNUMBER((Datos!M15-Datos!W15)/Datos!W15),(Datos!M15-Datos!W15)/Datos!W15," - ")</f>
        <v>4.9429657794676805E-2</v>
      </c>
      <c r="G15" s="457">
        <f>IF(ISNUMBER((Datos!N15-Datos!X15)/Datos!X15),(Datos!N15-Datos!X15)/Datos!X15," - ")</f>
        <v>-8.7980173482032215E-2</v>
      </c>
      <c r="H15" s="455">
        <f>IF(ISNUMBER(((NºAsuntos!G15/NºAsuntos!E15)-Datos!BD15)/Datos!BD15),((NºAsuntos!G15/NºAsuntos!E15)-Datos!BD15)/Datos!BD15," - ")</f>
        <v>1.3481009512371606E-2</v>
      </c>
      <c r="I15" s="456">
        <f>IF(ISNUMBER(((NºAsuntos!I15/NºAsuntos!G15)-Datos!BE15)/Datos!BE15),((NºAsuntos!I15/NºAsuntos!G15)-Datos!BE15)/Datos!BE15," - ")</f>
        <v>-5.2597854620997624E-3</v>
      </c>
      <c r="J15" s="461">
        <f>IF(ISNUMBER((('Resol  Asuntos'!D15/NºAsuntos!G15)-Datos!BF15)/Datos!BF15),(('Resol  Asuntos'!D15/NºAsuntos!G15)-Datos!BF15)/Datos!BF15," - ")</f>
        <v>0.10858780386099792</v>
      </c>
      <c r="K15" s="462">
        <f>IF(ISNUMBER((((NºAsuntos!C15+NºAsuntos!E15)/NºAsuntos!G15)-Datos!BG15)/Datos!BG15),(((NºAsuntos!C15+NºAsuntos!E15)/NºAsuntos!G15)-Datos!BG15)/Datos!BG15," - ")</f>
        <v>-4.0915490374134897E-3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-0.1111111111111111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-0.1111111111111111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1.1603773584905661</v>
      </c>
      <c r="C17" s="456">
        <f>IF(ISNUMBER(
   IF(D_I="SI",(Datos!J17-Datos!T17)/Datos!T17,(Datos!J17+Datos!AD17-(Datos!T17+Datos!AL17))/(Datos!T17+Datos!AL17))
     ),IF(D_I="SI",(Datos!J17-Datos!T17)/Datos!T17,(Datos!J17+Datos!AD17-(Datos!T17+Datos!AL17))/(Datos!T17+Datos!AL17))," - ")</f>
        <v>0.12301587301587301</v>
      </c>
      <c r="D17" s="456">
        <f>IF(ISNUMBER(
   IF(D_I="SI",(Datos!K17-Datos!U17)/Datos!U17,(Datos!K17+Datos!AE17-(Datos!U17+Datos!AM17))/(Datos!U17+Datos!AM17))
     ),IF(D_I="SI",(Datos!K17-Datos!U17)/Datos!U17,(Datos!K17+Datos!AE17-(Datos!U17+Datos!AM17))/(Datos!U17+Datos!AM17))," - ")</f>
        <v>0.22167487684729065</v>
      </c>
      <c r="E17" s="456">
        <f>IF(ISNUMBER(
   IF(D_I="SI",(Datos!L17-Datos!V17)/Datos!V17,(Datos!L17+Datos!AF17-(Datos!V17+Datos!AN17))/(Datos!V17+Datos!AN17))
     ),IF(D_I="SI",(Datos!L17-Datos!V17)/Datos!V17,(Datos!L17+Datos!AF17-(Datos!V17+Datos!AN17))/(Datos!V17+Datos!AN17))," - ")</f>
        <v>0.70967741935483875</v>
      </c>
      <c r="F17" s="456">
        <f>IF(ISNUMBER((Datos!M17-Datos!W17)/Datos!W17),(Datos!M17-Datos!W17)/Datos!W17," - ")</f>
        <v>3.3898305084745763E-2</v>
      </c>
      <c r="G17" s="457">
        <f>IF(ISNUMBER((Datos!N17-Datos!X17)/Datos!X17),(Datos!N17-Datos!X17)/Datos!X17," - ")</f>
        <v>0.20212765957446807</v>
      </c>
      <c r="H17" s="455">
        <f>IF(ISNUMBER(((NºAsuntos!G17/NºAsuntos!E17)-Datos!BD17)/Datos!BD17),((NºAsuntos!G17/NºAsuntos!E17)-Datos!BD17)/Datos!BD17," - ")</f>
        <v>8.7851833800414253E-2</v>
      </c>
      <c r="I17" s="456">
        <f>IF(ISNUMBER(((NºAsuntos!I17/NºAsuntos!G17)-Datos!BE17)/Datos!BE17),((NºAsuntos!I17/NºAsuntos!G17)-Datos!BE17)/Datos!BE17," - ")</f>
        <v>0.39945369406867859</v>
      </c>
      <c r="J17" s="461">
        <f>IF(ISNUMBER((('Resol  Asuntos'!D17/NºAsuntos!G17)-Datos!BF17)/Datos!BF17),(('Resol  Asuntos'!D17/NºAsuntos!G17)-Datos!BF17)/Datos!BF17," - ")</f>
        <v>-0.1537042099507927</v>
      </c>
      <c r="K17" s="462">
        <f>IF(ISNUMBER((((NºAsuntos!C17+NºAsuntos!E17)/NºAsuntos!G17)-Datos!BG17)/Datos!BG17),(((NºAsuntos!C17+NºAsuntos!E17)/NºAsuntos!G17)-Datos!BG17)/Datos!BG17," - ")</f>
        <v>0.17066138042890602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-1.7825311942959001E-3</v>
      </c>
      <c r="C18" s="855">
        <f>IF(ISNUMBER(
   IF(Criterios!B14="SI",(Datos!J18-Datos!T18)/Datos!T18,(Datos!J18+Datos!AD18-(Datos!T18+Datos!AL18))/(Datos!T18+Datos!AL18))
     ),IF(Criterios!B14="SI",(Datos!J18-Datos!T18)/Datos!T18,(Datos!J18+Datos!AD18-(Datos!T18+Datos!AL18))/(Datos!T18+Datos!AL18))," - ")</f>
        <v>-5.171898355754858E-2</v>
      </c>
      <c r="D18" s="855">
        <f>IF(ISNUMBER(
   IF(Criterios!B14="SI",(Datos!K18-Datos!U18)/Datos!U18,(Datos!K18+Datos!AE18-(Datos!U18+Datos!AM18))/(Datos!U18+Datos!AM18))
     ),IF(Criterios!B14="SI",(Datos!K18-Datos!U18)/Datos!U18,(Datos!K18+Datos!AE18-(Datos!U18+Datos!AM18))/(Datos!U18+Datos!AM18))," - ")</f>
        <v>-3.6418816388467376E-2</v>
      </c>
      <c r="E18" s="855">
        <f>IF(ISNUMBER(
   IF(Criterios!B14="SI",(Datos!L18-Datos!V18)/Datos!V18,(Datos!L18+Datos!AF18-(Datos!V18+Datos!AN18))/(Datos!V18+Datos!AN18))
     ),IF(Criterios!B14="SI",(Datos!L18-Datos!V18)/Datos!V18,(Datos!L18+Datos!AF18-(Datos!V18+Datos!AN18))/(Datos!V18+Datos!AN18))," - ")</f>
        <v>-1.6812609457092821E-2</v>
      </c>
      <c r="F18" s="856">
        <f>IF(ISNUMBER((Datos!M18-Datos!W18)/Datos!W18),(Datos!M18-Datos!W18)/Datos!W18," - ")</f>
        <v>4.6583850931677016E-2</v>
      </c>
      <c r="G18" s="857">
        <f>IF(ISNUMBER((Datos!N18-Datos!X18)/Datos!X18),(Datos!N18-Datos!X18)/Datos!X18," - ")</f>
        <v>-7.7137176938369786E-2</v>
      </c>
      <c r="H18" s="857">
        <f>IF(ISNUMBER(((NºAsuntos!G18/NºAsuntos!E18)-Datos!BD18)/Datos!BD18),((NºAsuntos!G18/NºAsuntos!E18)-Datos!BD18)/Datos!BD18," - ")</f>
        <v>1.6134634041795888E-2</v>
      </c>
      <c r="I18" s="857">
        <f>IF(ISNUMBER(((NºAsuntos!I18/NºAsuntos!G18)-Datos!BE18)/Datos!BE18),((NºAsuntos!I18/NºAsuntos!G18)-Datos!BE18)/Datos!BE18," - ")</f>
        <v>2.0347228925631216E-2</v>
      </c>
      <c r="J18" s="857">
        <f>IF(ISNUMBER((('Resol  Asuntos'!D18/NºAsuntos!G18)-Datos!BF18)/Datos!BF18),(('Resol  Asuntos'!D18/NºAsuntos!G18)-Datos!BF18)/Datos!BF18," - ")</f>
        <v>8.6139776006260216E-2</v>
      </c>
      <c r="K18" s="857">
        <f>IF(ISNUMBER((((NºAsuntos!C18+NºAsuntos!E18)/NºAsuntos!G18)-Datos!BG18)/Datos!BG18),(((NºAsuntos!C18+NºAsuntos!E18)/NºAsuntos!G18)-Datos!BG18)/Datos!BG18," - ")</f>
        <v>7.7582741181743201E-3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0.17992946948788716</v>
      </c>
      <c r="C19" s="802">
        <f>IF(ISNUMBER(
   IF(J_V="SI",(Datos!J19-Datos!T19)/Datos!T19,(Datos!J19+Datos!Z19-(Datos!T19+Datos!AH19))/(Datos!T19+Datos!AH19))
     ),IF(J_V="SI",(Datos!J19-Datos!T19)/Datos!T19,(Datos!J19+Datos!Z19-(Datos!T19+Datos!AH19))/(Datos!T19+Datos!AH19))," - ")</f>
        <v>2.2897044494965896E-2</v>
      </c>
      <c r="D19" s="802">
        <f>IF(ISNUMBER(
   IF(J_V="SI",(Datos!K19-Datos!U19)/Datos!U19,(Datos!K19+Datos!AA19-(Datos!U19+Datos!AI19))/(Datos!U19+Datos!AI19))
     ),IF(J_V="SI",(Datos!K19-Datos!U19)/Datos!U19,(Datos!K19+Datos!AA19-(Datos!U19+Datos!AI19))/(Datos!U19+Datos!AI19))," - ")</f>
        <v>-2.4290169046446743E-2</v>
      </c>
      <c r="E19" s="802">
        <f>IF(ISNUMBER(
   IF(J_V="SI",(Datos!L19-Datos!V19)/Datos!V19,(Datos!L19+Datos!AB19-(Datos!V19+Datos!AJ19))/(Datos!V19+Datos!AJ19))
     ),IF(J_V="SI",(Datos!L19-Datos!V19)/Datos!V19,(Datos!L19+Datos!AB19-(Datos!V19+Datos!AJ19))/(Datos!V19+Datos!AJ19))," - ")</f>
        <v>0.1830803264932489</v>
      </c>
      <c r="F19" s="803">
        <f>IF(ISNUMBER((Datos!M19-Datos!W19)/Datos!W19),(Datos!M19-Datos!W19)/Datos!W19," - ")</f>
        <v>0.1698389458272328</v>
      </c>
      <c r="G19" s="804">
        <f>IF(ISNUMBER((Datos!N19-Datos!X19)/Datos!X19),(Datos!N19-Datos!X19)/Datos!X19," - ")</f>
        <v>-0.17692129092175529</v>
      </c>
      <c r="H19" s="805">
        <f>IF(ISNUMBER((Tasas!B19-Datos!BD19)/Datos!BD19),(Tasas!B19-Datos!BD19)/Datos!BD19," - ")</f>
        <v>-4.6130951101447611E-2</v>
      </c>
      <c r="I19" s="806">
        <f>IF(ISNUMBER((Tasas!C19-Datos!BE19)/Datos!BE19),(Tasas!C19-Datos!BE19)/Datos!BE19," - ")</f>
        <v>0.21253295699299679</v>
      </c>
      <c r="J19" s="807">
        <f>IF(ISNUMBER((Tasas!D19-Datos!BF19)/Datos!BF19),(Tasas!D19-Datos!BF19)/Datos!BF19," - ")</f>
        <v>-0.61226751854117289</v>
      </c>
      <c r="K19" s="807">
        <f>IF(ISNUMBER((Tasas!E19-Datos!BG19)/Datos!BG19),(Tasas!E19-Datos!BG19)/Datos!BG19," - ")</f>
        <v>0.15769033030183544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C0+P6ZlBHMI10tmkV7FmoxJLjRin1S+W3DAO920/xdpiJhGJxWOUC4cNS1Eyut3Rt3pAJmbAviAfrB2q2MSMQ==" saltValue="5bc5fAiVxFntOiUk2INc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 BARTOLOME DE TIRAJANA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0.88387096774193552</v>
      </c>
      <c r="C9" s="443">
        <f>IF(ISNUMBER(NºAsuntos!I9/NºAsuntos!G9),NºAsuntos!I9/NºAsuntos!G9," - ")</f>
        <v>4.6032846715328466</v>
      </c>
      <c r="D9" s="444">
        <f>IF(ISNUMBER('Resol  Asuntos'!D9/NºAsuntos!G9),'Resol  Asuntos'!D9/NºAsuntos!G9," - ")</f>
        <v>0.16678832116788322</v>
      </c>
      <c r="E9" s="445">
        <f>IF(ISNUMBER((NºAsuntos!C9+NºAsuntos!E9)/NºAsuntos!G9),(NºAsuntos!C9+NºAsuntos!E9)/NºAsuntos!G9," - ")</f>
        <v>5.6923357664233576</v>
      </c>
      <c r="G9" s="463"/>
    </row>
    <row r="10" spans="1:7">
      <c r="A10" s="402" t="str">
        <f>Datos!A10</f>
        <v>Jdos. Violencia contra la mujer</v>
      </c>
      <c r="B10" s="442">
        <f>IF(ISNUMBER(NºAsuntos!G10/NºAsuntos!E10),NºAsuntos!G10/NºAsuntos!E10," - ")</f>
        <v>1</v>
      </c>
      <c r="C10" s="443">
        <f>IF(ISNUMBER(NºAsuntos!I10/NºAsuntos!G10),NºAsuntos!I10/NºAsuntos!G10," - ")</f>
        <v>3.2962962962962963</v>
      </c>
      <c r="D10" s="444">
        <f>IF(ISNUMBER('Resol  Asuntos'!D10/NºAsuntos!G10),'Resol  Asuntos'!D10/NºAsuntos!G10," - ")</f>
        <v>0.18518518518518517</v>
      </c>
      <c r="E10" s="445">
        <f>IF(ISNUMBER((NºAsuntos!C10+NºAsuntos!E10)/NºAsuntos!G10),(NºAsuntos!C10+NºAsuntos!E10)/NºAsuntos!G10," - ")</f>
        <v>4.2962962962962967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0</v>
      </c>
      <c r="D12" s="444">
        <f>IF(ISNUMBER('Resol  Asuntos'!D12/NºAsuntos!G12),'Resol  Asuntos'!D12/NºAsuntos!G12," - ")</f>
        <v>0</v>
      </c>
      <c r="E12" s="445">
        <f>IF(ISNUMBER((NºAsuntos!C12+NºAsuntos!E12)/NºAsuntos!G12),(NºAsuntos!C12+NºAsuntos!E12)/NºAsuntos!G12," - ")</f>
        <v>1.6666666666666667</v>
      </c>
      <c r="G12" s="463"/>
    </row>
    <row r="13" spans="1:7" ht="14.25" thickTop="1" thickBot="1">
      <c r="A13" s="848" t="str">
        <f>Datos!A13</f>
        <v>TOTAL</v>
      </c>
      <c r="B13" s="858">
        <f>IF(ISNUMBER(NºAsuntos!G13/NºAsuntos!E13),NºAsuntos!G13/NºAsuntos!E13," - ")</f>
        <v>0.88583306683722418</v>
      </c>
      <c r="C13" s="859">
        <f>IF(ISNUMBER(NºAsuntos!I13/NºAsuntos!G13),NºAsuntos!I13/NºAsuntos!G13," - ")</f>
        <v>4.5855595667870039</v>
      </c>
      <c r="D13" s="860">
        <f>IF(ISNUMBER('Resol  Asuntos'!D13/NºAsuntos!G13),'Resol  Asuntos'!D13/NºAsuntos!G13," - ")</f>
        <v>0.16678700361010831</v>
      </c>
      <c r="E13" s="861">
        <f>IF(ISNUMBER((NºAsuntos!C13+NºAsuntos!E13)/NºAsuntos!G13),(NºAsuntos!C13+NºAsuntos!E13)/NºAsuntos!G13," - ")</f>
        <v>5.6743682310469312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1.0131533402561439</v>
      </c>
      <c r="C15" s="443">
        <f>IF(ISNUMBER(NºAsuntos!I15/NºAsuntos!G15),NºAsuntos!I15/NºAsuntos!G15," - ")</f>
        <v>0.86573283225145203</v>
      </c>
      <c r="D15" s="444">
        <f>IF(ISNUMBER('Resol  Asuntos'!D15/NºAsuntos!G15),'Resol  Asuntos'!D15/NºAsuntos!G15," - ")</f>
        <v>9.4294499487529895E-2</v>
      </c>
      <c r="E15" s="445">
        <f>IF(ISNUMBER((NºAsuntos!C15+NºAsuntos!E15)/NºAsuntos!G15),(NºAsuntos!C15+NºAsuntos!E15)/NºAsuntos!G15," - ")</f>
        <v>1.862658011615989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0.87632508833922262</v>
      </c>
      <c r="C17" s="443">
        <f>IF(ISNUMBER(NºAsuntos!I17/NºAsuntos!G17),NºAsuntos!I17/NºAsuntos!G17," - ")</f>
        <v>1.0685483870967742</v>
      </c>
      <c r="D17" s="444">
        <f>IF(ISNUMBER('Resol  Asuntos'!D17/NºAsuntos!G17),'Resol  Asuntos'!D17/NºAsuntos!G17," - ")</f>
        <v>0.24596774193548387</v>
      </c>
      <c r="E17" s="445">
        <f>IF(ISNUMBER((NºAsuntos!C17+NºAsuntos!E17)/NºAsuntos!G17),(NºAsuntos!C17+NºAsuntos!E17)/NºAsuntos!G17," - ")</f>
        <v>2.064516129032258</v>
      </c>
      <c r="G17" s="463"/>
    </row>
    <row r="18" spans="1:7" ht="14.25" thickTop="1" thickBot="1">
      <c r="A18" s="848" t="str">
        <f>Datos!A18</f>
        <v>TOTAL</v>
      </c>
      <c r="B18" s="858">
        <f>IF(ISNUMBER(NºAsuntos!G18/NºAsuntos!E18),NºAsuntos!G18/NºAsuntos!E18," - ")</f>
        <v>1.0009457755359394</v>
      </c>
      <c r="C18" s="859">
        <f>IF(ISNUMBER(NºAsuntos!I18/NºAsuntos!G18),NºAsuntos!I18/NºAsuntos!G18," - ")</f>
        <v>0.8840944881889764</v>
      </c>
      <c r="D18" s="862">
        <f>IF(ISNUMBER('Resol  Asuntos'!D18/NºAsuntos!G18),'Resol  Asuntos'!D18/NºAsuntos!G18," - ")</f>
        <v>0.10614173228346457</v>
      </c>
      <c r="E18" s="861">
        <f>IF(ISNUMBER((NºAsuntos!C18+NºAsuntos!E18)/NºAsuntos!G18),(NºAsuntos!C18+NºAsuntos!E18)/NºAsuntos!G18," - ")</f>
        <v>1.8809448818897638</v>
      </c>
      <c r="G18" s="463"/>
    </row>
    <row r="19" spans="1:7" ht="15.75" customHeight="1" thickTop="1" thickBot="1">
      <c r="A19" s="793" t="str">
        <f>Datos!A19</f>
        <v>TOTAL JURISDICCIONES</v>
      </c>
      <c r="B19" s="808">
        <f>IF(ISNUMBER(NºAsuntos!G19/NºAsuntos!E19),NºAsuntos!G19/NºAsuntos!E19," - ")</f>
        <v>0.94380060327036042</v>
      </c>
      <c r="C19" s="809">
        <f>IF(ISNUMBER(NºAsuntos!I19/NºAsuntos!G19),NºAsuntos!I19/NºAsuntos!G19," - ")</f>
        <v>2.6087468460891508</v>
      </c>
      <c r="D19" s="810">
        <f>IF(ISNUMBER('Resol  Asuntos'!D19/NºAsuntos!G19),'Resol  Asuntos'!D19/NºAsuntos!G19," - ")</f>
        <v>0.13439865433137091</v>
      </c>
      <c r="E19" s="811">
        <f>IF(ISNUMBER((NºAsuntos!C19+NºAsuntos!E19)/NºAsuntos!G19),(NºAsuntos!C19+NºAsuntos!E19)/NºAsuntos!G19," - ")</f>
        <v>3.6484440706476029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j2C/aymI7s+adE35IeWSfGDRiV/eBxbQAl359jeUoJQxRb8uEVmLT4inY4DaYWbeY/FVxf3+1Xop9iHfh7Axw==" saltValue="FtRqNV4dhPjAKsIPd019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 BARTOLOME DE TIRAJANA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721</v>
      </c>
      <c r="Y9" s="334">
        <f>SUM(W9:X9)</f>
        <v>721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10544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457</v>
      </c>
      <c r="AJ9" s="229" t="str">
        <f>IF(ISNUMBER(Datos!BW9),Datos!BW9," - ")</f>
        <v xml:space="preserve"> - </v>
      </c>
      <c r="AK9" s="228" t="str">
        <f>IF(ISNUMBER(Datos!BX9),Datos!BX9," - ")</f>
        <v xml:space="preserve"> - </v>
      </c>
      <c r="AL9" s="243">
        <f>IF(ISNUMBER(NºAsuntos!G9/NºAsuntos!E9),NºAsuntos!G9/NºAsuntos!E9," - ")</f>
        <v>0.88387096774193552</v>
      </c>
      <c r="AM9" s="260">
        <f>IF(ISNUMBER(((NºAsuntos!I9/NºAsuntos!G9)*11)/factor_trimestre),((NºAsuntos!I9/NºAsuntos!G9)*11)/factor_trimestre," - ")</f>
        <v>9.2065693430656932</v>
      </c>
      <c r="AN9" s="244">
        <f>IF(ISNUMBER('Resol  Asuntos'!D9/NºAsuntos!G9),'Resol  Asuntos'!D9/NºAsuntos!G9," - ")</f>
        <v>0.16678832116788322</v>
      </c>
      <c r="AO9" s="245">
        <f>IF(ISNUMBER((NºAsuntos!C9+NºAsuntos!E9)/NºAsuntos!G9),(NºAsuntos!C9+NºAsuntos!E9)/NºAsuntos!G9," - ")</f>
        <v>5.6923357664233576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89</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2</v>
      </c>
      <c r="Y10" s="334">
        <f t="shared" ref="Y10:Y12" si="0">SUM(W10:X10)</f>
        <v>29</v>
      </c>
      <c r="Z10" s="335" t="str">
        <f>IF(ISNUMBER(Datos!CC10),Datos!CC10," - ")</f>
        <v xml:space="preserve"> - </v>
      </c>
      <c r="AA10" s="332">
        <f>IF(ISNUMBER(Datos!L10),Datos!L10,"-")</f>
        <v>89</v>
      </c>
      <c r="AB10" s="334">
        <f>IF(ISNUMBER(Datos!R10),Datos!R10," - ")</f>
        <v>44</v>
      </c>
      <c r="AC10" s="334">
        <f t="shared" ref="AC10:AC12" si="1">IF(ISNUMBER(AA10+AB10),AA10+AB10," - ")</f>
        <v>133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6.5925925925925926</v>
      </c>
      <c r="AN10" s="244">
        <f>IF(ISNUMBER('Resol  Asuntos'!D10/NºAsuntos!G10),'Resol  Asuntos'!D10/NºAsuntos!G10," - ")</f>
        <v>0.18518518518518517</v>
      </c>
      <c r="AO10" s="245">
        <f>IF(ISNUMBER((NºAsuntos!C10+NºAsuntos!E10)/NºAsuntos!G10),(NºAsuntos!C10+NºAsuntos!E10)/NºAsuntos!G10," - ")</f>
        <v>4.2962962962962967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0</v>
      </c>
      <c r="AN12" s="244">
        <f>IF(ISNUMBER('Resol  Asuntos'!D12/NºAsuntos!G12),'Resol  Asuntos'!D12/NºAsuntos!G12," - ")</f>
        <v>0</v>
      </c>
      <c r="AO12" s="245">
        <f>IF(ISNUMBER((NºAsuntos!C12+NºAsuntos!E12)/NºAsuntos!G12),(NºAsuntos!C12+NºAsuntos!E12)/NºAsuntos!G12," - ")</f>
        <v>1.6666666666666667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89</v>
      </c>
      <c r="G13" s="866">
        <f t="shared" si="3"/>
        <v>89</v>
      </c>
      <c r="H13" s="865">
        <f t="shared" si="3"/>
        <v>0</v>
      </c>
      <c r="I13" s="867">
        <f t="shared" si="3"/>
        <v>0</v>
      </c>
      <c r="J13" s="867">
        <f t="shared" si="3"/>
        <v>0</v>
      </c>
      <c r="K13" s="867">
        <f t="shared" si="3"/>
        <v>0</v>
      </c>
      <c r="L13" s="867">
        <f t="shared" si="3"/>
        <v>369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747</v>
      </c>
      <c r="Y13" s="868">
        <f t="shared" si="4"/>
        <v>774</v>
      </c>
      <c r="Z13" s="868">
        <f t="shared" si="4"/>
        <v>0</v>
      </c>
      <c r="AA13" s="868">
        <f t="shared" si="4"/>
        <v>89</v>
      </c>
      <c r="AB13" s="868">
        <f t="shared" si="4"/>
        <v>11133</v>
      </c>
      <c r="AC13" s="868">
        <f t="shared" si="4"/>
        <v>133</v>
      </c>
      <c r="AD13" s="868">
        <f t="shared" si="4"/>
        <v>0</v>
      </c>
      <c r="AE13" s="872">
        <f t="shared" si="4"/>
        <v>0</v>
      </c>
      <c r="AF13" s="865">
        <f t="shared" si="4"/>
        <v>0</v>
      </c>
      <c r="AG13" s="873">
        <f t="shared" si="4"/>
        <v>0</v>
      </c>
      <c r="AH13" s="870">
        <f t="shared" si="4"/>
        <v>0</v>
      </c>
      <c r="AI13" s="865">
        <f t="shared" si="4"/>
        <v>462</v>
      </c>
      <c r="AJ13" s="867">
        <f t="shared" si="4"/>
        <v>0</v>
      </c>
      <c r="AK13" s="870">
        <f>SUBTOTAL(9,AK9:AK12)</f>
        <v>0</v>
      </c>
      <c r="AL13" s="874">
        <f>IF(ISNUMBER(NºAsuntos!G13/NºAsuntos!E13),NºAsuntos!G13/NºAsuntos!E13," - ")</f>
        <v>0.88583306683722418</v>
      </c>
      <c r="AM13" s="874">
        <f>IF(ISNUMBER(((NºAsuntos!I13/NºAsuntos!G13)*11)/factor_trimestre),((NºAsuntos!I13/NºAsuntos!G13)*11)/factor_trimestre," - ")</f>
        <v>9.1711191335740079</v>
      </c>
      <c r="AN13" s="875">
        <f>IF(ISNUMBER('Resol  Asuntos'!D13/NºAsuntos!G13),'Resol  Asuntos'!D13/NºAsuntos!G13," - ")</f>
        <v>0.16678700361010831</v>
      </c>
      <c r="AO13" s="876">
        <f>IF(ISNUMBER((NºAsuntos!C13+NºAsuntos!E13)/NºAsuntos!G13),(NºAsuntos!C13+NºAsuntos!E13)/NºAsuntos!G13," - ")</f>
        <v>5.6743682310469312</v>
      </c>
      <c r="AP13" s="877" t="str">
        <f t="shared" si="2"/>
        <v xml:space="preserve"> - </v>
      </c>
      <c r="AQ13" s="877">
        <f>IF(ISNUMBER((H13-W13+K13)/(F13)),(H13-W13+K13)/(F13)," - ")</f>
        <v>-0.30337078651685395</v>
      </c>
      <c r="AR13" s="878">
        <f>IF(ISNUMBER((Datos!P13-Datos!Q13)/(Datos!R13-Datos!P13+Datos!Q13)),(Datos!P13-Datos!Q13)/(Datos!R13-Datos!P13+Datos!Q13)," - ")</f>
        <v>-3.2838154808444098E-2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2572</v>
      </c>
      <c r="G15" s="333">
        <f>IF(ISNUMBER(IF(D_I="SI",Datos!I15,Datos!I15+Datos!AC15)),IF(D_I="SI",Datos!I15,Datos!I15+Datos!AC15)," - ")</f>
        <v>2563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2927</v>
      </c>
      <c r="X15" s="226">
        <f>IF(ISNUMBER(Datos!Q15),Datos!Q15," - ")</f>
        <v>58</v>
      </c>
      <c r="Y15" s="334">
        <f>SUM(W15)</f>
        <v>2927</v>
      </c>
      <c r="Z15" s="335" t="str">
        <f>IF(ISNUMBER(Datos!CC15),Datos!CC15," - ")</f>
        <v xml:space="preserve"> - </v>
      </c>
      <c r="AA15" s="332">
        <f>IF(ISNUMBER(IF(D_I="SI",Datos!L15,Datos!L15+Datos!AF15)),IF(D_I="SI",Datos!L15,Datos!L15+Datos!AF15)," - ")</f>
        <v>2534</v>
      </c>
      <c r="AB15" s="334">
        <f>IF(ISNUMBER(Datos!R15),Datos!R15," - ")</f>
        <v>555</v>
      </c>
      <c r="AC15" s="334">
        <f t="shared" ref="AC15:AC17" si="6">IF(ISNUMBER(AA15+AB15),AA15+AB15," - ")</f>
        <v>3089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276</v>
      </c>
      <c r="AJ15" s="231" t="str">
        <f>IF(ISNUMBER(Datos!BW15),Datos!BW15," - ")</f>
        <v xml:space="preserve"> - </v>
      </c>
      <c r="AK15" s="232" t="str">
        <f>IF(ISNUMBER(Datos!BX15),Datos!BX15," - ")</f>
        <v xml:space="preserve"> - </v>
      </c>
      <c r="AL15" s="243">
        <f>IF(ISNUMBER(NºAsuntos!G15/NºAsuntos!E15),NºAsuntos!G15/NºAsuntos!E15," - ")</f>
        <v>1.0131533402561439</v>
      </c>
      <c r="AM15" s="260">
        <f>IF(ISNUMBER(((NºAsuntos!I15/NºAsuntos!G15)*11)/factor_trimestre),((NºAsuntos!I15/NºAsuntos!G15)*11)/factor_trimestre," - ")</f>
        <v>1.7314656645029041</v>
      </c>
      <c r="AN15" s="244">
        <f>IF(ISNUMBER('Resol  Asuntos'!D15/NºAsuntos!G15),'Resol  Asuntos'!D15/NºAsuntos!G15," - ")</f>
        <v>9.4294499487529895E-2</v>
      </c>
      <c r="AO15" s="245">
        <f>IF(ISNUMBER((NºAsuntos!C15+NºAsuntos!E15)/NºAsuntos!G15),(NºAsuntos!C15+NºAsuntos!E15)/NºAsuntos!G15," - ")</f>
        <v>1.862658011615989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8</v>
      </c>
      <c r="AB16" s="334">
        <f>IF(ISNUMBER(Datos!R16),Datos!R16," - ")</f>
        <v>2</v>
      </c>
      <c r="AC16" s="334">
        <f t="shared" si="6"/>
        <v>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248</v>
      </c>
      <c r="X17" s="226">
        <f>IF(ISNUMBER(Datos!Q17),Datos!Q17," - ")</f>
        <v>16</v>
      </c>
      <c r="Y17" s="334">
        <f t="shared" si="7"/>
        <v>264</v>
      </c>
      <c r="Z17" s="335" t="str">
        <f>IF(ISNUMBER(Datos!CC17),Datos!CC17," - ")</f>
        <v xml:space="preserve"> - </v>
      </c>
      <c r="AA17" s="332">
        <f>IF(ISNUMBER(Datos!L17),Datos!L17,"-")</f>
        <v>265</v>
      </c>
      <c r="AB17" s="334">
        <f>IF(ISNUMBER(Datos!R17),Datos!R17," - ")</f>
        <v>33</v>
      </c>
      <c r="AC17" s="334">
        <f t="shared" si="6"/>
        <v>298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61</v>
      </c>
      <c r="AJ17" s="231" t="str">
        <f>IF(ISNUMBER(Datos!BW17),Datos!BW17," - ")</f>
        <v xml:space="preserve"> - </v>
      </c>
      <c r="AK17" s="232" t="str">
        <f>IF(ISNUMBER(Datos!BX17),Datos!BX17," - ")</f>
        <v xml:space="preserve"> - </v>
      </c>
      <c r="AL17" s="243">
        <f>IF(ISNUMBER(NºAsuntos!G17/NºAsuntos!E17),NºAsuntos!G17/NºAsuntos!E17," - ")</f>
        <v>0.87632508833922262</v>
      </c>
      <c r="AM17" s="260">
        <f>IF(ISNUMBER(((NºAsuntos!I17/NºAsuntos!G17)*11)/factor_trimestre),((NºAsuntos!I17/NºAsuntos!G17)*11)/factor_trimestre," - ")</f>
        <v>2.1370967741935485</v>
      </c>
      <c r="AN17" s="244">
        <f>IF(ISNUMBER('Resol  Asuntos'!D17/NºAsuntos!G17),'Resol  Asuntos'!D17/NºAsuntos!G17," - ")</f>
        <v>0.24596774193548387</v>
      </c>
      <c r="AO17" s="245">
        <f>IF(ISNUMBER((NºAsuntos!C17+NºAsuntos!E17)/NºAsuntos!G17),(NºAsuntos!C17+NºAsuntos!E17)/NºAsuntos!G17," - ")</f>
        <v>2.064516129032258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2580</v>
      </c>
      <c r="G18" s="866">
        <f>SUBTOTAL(9,G15:G17)</f>
        <v>2800</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3175</v>
      </c>
      <c r="X18" s="867">
        <f t="shared" si="11"/>
        <v>74</v>
      </c>
      <c r="Y18" s="868">
        <f t="shared" si="11"/>
        <v>3191</v>
      </c>
      <c r="Z18" s="868">
        <f t="shared" si="11"/>
        <v>0</v>
      </c>
      <c r="AA18" s="868">
        <f t="shared" si="11"/>
        <v>2807</v>
      </c>
      <c r="AB18" s="868">
        <f t="shared" si="11"/>
        <v>590</v>
      </c>
      <c r="AC18" s="868">
        <f t="shared" si="11"/>
        <v>3397</v>
      </c>
      <c r="AD18" s="868">
        <f t="shared" si="11"/>
        <v>0</v>
      </c>
      <c r="AE18" s="872">
        <f t="shared" si="11"/>
        <v>0</v>
      </c>
      <c r="AF18" s="865">
        <f t="shared" si="11"/>
        <v>0</v>
      </c>
      <c r="AG18" s="873">
        <f t="shared" si="11"/>
        <v>0</v>
      </c>
      <c r="AH18" s="870">
        <f t="shared" si="11"/>
        <v>0</v>
      </c>
      <c r="AI18" s="865">
        <f t="shared" si="11"/>
        <v>337</v>
      </c>
      <c r="AJ18" s="867">
        <f t="shared" si="11"/>
        <v>0</v>
      </c>
      <c r="AK18" s="870">
        <f t="shared" si="11"/>
        <v>0</v>
      </c>
      <c r="AL18" s="874">
        <f>IF(ISNUMBER(NºAsuntos!G18/NºAsuntos!E18),NºAsuntos!G18/NºAsuntos!E18," - ")</f>
        <v>1.0009457755359394</v>
      </c>
      <c r="AM18" s="874">
        <f>IF(ISNUMBER(((NºAsuntos!I18/NºAsuntos!G18)*11)/factor_trimestre),((NºAsuntos!I18/NºAsuntos!G18)*11)/factor_trimestre," - ")</f>
        <v>1.7681889763779528</v>
      </c>
      <c r="AN18" s="875">
        <f>IF(ISNUMBER('Resol  Asuntos'!D18/NºAsuntos!G18),'Resol  Asuntos'!D18/NºAsuntos!G18," - ")</f>
        <v>0.10614173228346457</v>
      </c>
      <c r="AO18" s="876">
        <f>IF(ISNUMBER((NºAsuntos!C18+NºAsuntos!E18)/NºAsuntos!G18),(NºAsuntos!C18+NºAsuntos!E18)/NºAsuntos!G18," - ")</f>
        <v>1.8809448818897638</v>
      </c>
      <c r="AP18" s="877" t="str">
        <f t="shared" si="2"/>
        <v xml:space="preserve"> - </v>
      </c>
      <c r="AQ18" s="877">
        <f>IF(ISNUMBER((H18-W18+K18)/(F18)),(H18-W18+K18)/(F18)," - ")</f>
        <v>-1.2306201550387597</v>
      </c>
      <c r="AR18" s="878">
        <f>IF(ISNUMBER((Datos!P18-Datos!Q18)/(Datos!R18-Datos!P18+Datos!Q18)),(Datos!P18-Datos!Q18)/(Datos!R18-Datos!P18+Datos!Q18)," - ")</f>
        <v>4.7957371225577264E-2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2669</v>
      </c>
      <c r="G19" s="821">
        <f t="shared" si="13"/>
        <v>2889</v>
      </c>
      <c r="H19" s="820">
        <f t="shared" si="13"/>
        <v>0</v>
      </c>
      <c r="I19" s="822">
        <f t="shared" si="13"/>
        <v>0</v>
      </c>
      <c r="J19" s="822">
        <f t="shared" si="13"/>
        <v>0</v>
      </c>
      <c r="K19" s="881">
        <f t="shared" si="13"/>
        <v>0</v>
      </c>
      <c r="L19" s="822">
        <f t="shared" si="13"/>
        <v>470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3202</v>
      </c>
      <c r="X19" s="821">
        <f t="shared" si="14"/>
        <v>821</v>
      </c>
      <c r="Y19" s="828">
        <f t="shared" si="14"/>
        <v>3965</v>
      </c>
      <c r="Z19" s="828">
        <f t="shared" si="14"/>
        <v>0</v>
      </c>
      <c r="AA19" s="828">
        <f t="shared" si="14"/>
        <v>2896</v>
      </c>
      <c r="AB19" s="828">
        <f t="shared" si="14"/>
        <v>11723</v>
      </c>
      <c r="AC19" s="828">
        <f t="shared" si="14"/>
        <v>3530</v>
      </c>
      <c r="AD19" s="828">
        <f t="shared" si="14"/>
        <v>0</v>
      </c>
      <c r="AE19" s="830">
        <f t="shared" si="14"/>
        <v>0</v>
      </c>
      <c r="AF19" s="831">
        <f t="shared" si="14"/>
        <v>0</v>
      </c>
      <c r="AG19" s="832">
        <f t="shared" si="14"/>
        <v>0</v>
      </c>
      <c r="AH19" s="830">
        <f t="shared" si="14"/>
        <v>0</v>
      </c>
      <c r="AI19" s="820">
        <f t="shared" si="14"/>
        <v>799</v>
      </c>
      <c r="AJ19" s="820">
        <f t="shared" si="14"/>
        <v>0</v>
      </c>
      <c r="AK19" s="830">
        <f t="shared" si="14"/>
        <v>0</v>
      </c>
      <c r="AL19" s="884">
        <f>IF(ISNUMBER(NºAsuntos!G19/NºAsuntos!E19),NºAsuntos!G19/NºAsuntos!E19," - ")</f>
        <v>0.94380060327036042</v>
      </c>
      <c r="AM19" s="885">
        <f>IF(ISNUMBER(((NºAsuntos!I19/NºAsuntos!G19)*11)/factor_trimestre),((NºAsuntos!I19/NºAsuntos!G19)*11)/factor_trimestre," - ")</f>
        <v>5.2174936921783015</v>
      </c>
      <c r="AN19" s="885">
        <f>IF(ISNUMBER('Resol  Asuntos'!D19/NºAsuntos!G19),'Resol  Asuntos'!D19/NºAsuntos!G19," - ")</f>
        <v>0.13439865433137091</v>
      </c>
      <c r="AO19" s="886">
        <f>IF(ISNUMBER((NºAsuntos!C19+NºAsuntos!E19)/NºAsuntos!G19),(NºAsuntos!C19+NºAsuntos!E19)/NºAsuntos!G19," - ")</f>
        <v>3.6484440706476029</v>
      </c>
      <c r="AP19" s="887" t="str">
        <f t="shared" si="2"/>
        <v xml:space="preserve"> - </v>
      </c>
      <c r="AQ19" s="888">
        <f>IF(OR(ISNUMBER(FIND("01",Criterios!A8,1)),ISNUMBER(FIND("02",Criterios!A8,1)),ISNUMBER(FIND("03",Criterios!A8,1)),ISNUMBER(FIND("04",Criterios!A8,1))),(I19-W19+K19)/(F19-K19),(H19-W19+K19)/(F19-K19))</f>
        <v>-1.1997002622705133</v>
      </c>
      <c r="AR19" s="889">
        <f>IF(ISNUMBER((Datos!P19-Datos!Q19)/(Datos!R19-Datos!P19+Datos!Q19)),(Datos!P19-Datos!Q19)/(Datos!R19-Datos!P19+Datos!Q19)," - ")</f>
        <v>-2.9070730495279112E-2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1377.3744225881355</v>
      </c>
      <c r="G21" s="253">
        <f>IF(ISNUMBER(STDEV(G8:G18)),STDEV(G8:G18),"-")</f>
        <v>1335.1480816748381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1541.1497872259745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205.83748790871752</v>
      </c>
      <c r="AJ21" s="252">
        <f t="shared" si="18"/>
        <v>0</v>
      </c>
      <c r="AK21" s="254">
        <f t="shared" si="18"/>
        <v>0</v>
      </c>
      <c r="AL21" s="249">
        <f t="shared" si="18"/>
        <v>6.7434848112143467E-2</v>
      </c>
      <c r="AM21" s="250">
        <f t="shared" si="18"/>
        <v>3.8556682341739856</v>
      </c>
      <c r="AN21" s="250">
        <f t="shared" si="18"/>
        <v>7.9067433542803434E-2</v>
      </c>
      <c r="AO21" s="251">
        <f t="shared" si="18"/>
        <v>1.8541469220052254</v>
      </c>
      <c r="AP21" s="291" t="str">
        <f t="shared" si="18"/>
        <v>-</v>
      </c>
      <c r="AQ21" s="292">
        <f t="shared" si="18"/>
        <v>0.65566431633278344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JVIct2WWYSyaO4+GvUNpDeDSSzS2WlINbhzwchNTW7oLji/0Ybu9FSZyUop2oMEz5UAJWRXNYDlleBaPb94SQ==" saltValue="gg3MoanjA0bSNXJu+nIc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 BARTOLOME DE TIRAJANA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0.30199430199430199</v>
      </c>
      <c r="I9" s="350">
        <f>IF(ISNUMBER((Tasas!C9-Datos!BE9)/Datos!BE9),(Tasas!C9-Datos!BE9)/Datos!BE9," - ")</f>
        <v>0.25581193873526725</v>
      </c>
      <c r="J9" s="349">
        <f>IF(ISNUMBER((Tasas!D9-Datos!BF9)/Datos!BF9),(Tasas!D9-Datos!BF9)/Datos!BF9," - ")</f>
        <v>-0.74025998523743131</v>
      </c>
      <c r="K9" s="351">
        <f>IF(ISNUMBER((Tasas!E9-Datos!BG9)/Datos!BG9),(Tasas!E9-Datos!BG9)/Datos!BG9," - ")</f>
        <v>0.22006918306081705</v>
      </c>
      <c r="M9" t="e">
        <f>IF(Monitorios="SI",Datos!CE9,0)</f>
        <v>#REF!</v>
      </c>
      <c r="N9" t="e">
        <f>IF(Monitorios="SI",Datos!CF9,0)</f>
        <v>#REF!</v>
      </c>
      <c r="O9" t="e">
        <f>IF(Monitorios="SI",Datos!CG9,0)</f>
        <v>#REF!</v>
      </c>
      <c r="P9" t="e">
        <f>IF(Monitorios="SI",Datos!CH9,0)</f>
        <v>#REF!</v>
      </c>
      <c r="Q9">
        <f>IF(J_V="SI",0,Datos!AG9)</f>
        <v>263</v>
      </c>
      <c r="R9">
        <f>IF(J_V="SI",0,Datos!AH9)</f>
        <v>72</v>
      </c>
      <c r="S9">
        <f>IF(J_V="SI",0,Datos!AI9)</f>
        <v>74</v>
      </c>
      <c r="T9">
        <f>IF(J_V="SI",0,Datos!AJ9)</f>
        <v>261</v>
      </c>
    </row>
    <row r="10" spans="2:20" ht="14.25">
      <c r="B10" s="275" t="s">
        <v>246</v>
      </c>
      <c r="C10" s="7" t="str">
        <f>Datos!A10</f>
        <v>Jdos. Violencia contra la mujer</v>
      </c>
      <c r="D10" s="352">
        <f>IF(ISNUMBER((Datos!I10-Datos!S10)/Datos!S10),(Datos!I10-Datos!S10)/Datos!S10," - ")</f>
        <v>3.4883720930232558E-2</v>
      </c>
      <c r="E10" s="348">
        <f>IF(ISNUMBER((Datos!J10-Datos!T10)/Datos!T10),(Datos!J10-Datos!T10)/Datos!T10," - ")</f>
        <v>0</v>
      </c>
      <c r="F10" s="348">
        <f>IF(ISNUMBER((Datos!K10-Datos!U10)/Datos!U10),(Datos!K10-Datos!U10)/Datos!U10," - ")</f>
        <v>3.8461538461538464E-2</v>
      </c>
      <c r="G10" s="349">
        <f>IF(ISNUMBER((Datos!L10-Datos!V10)/Datos!V10),(Datos!L10-Datos!V10)/Datos!V10," - ")</f>
        <v>2.2988505747126436E-2</v>
      </c>
      <c r="H10" s="230">
        <f>IF(ISNUMBER((Datos!M10-Datos!W10)/Datos!W10),(Datos!M10-Datos!W10)/Datos!W10," - ")</f>
        <v>-0.5</v>
      </c>
      <c r="I10" s="350">
        <f>IF(ISNUMBER((Tasas!C10-Datos!BE10)/Datos!BE10),(Tasas!C10-Datos!BE10)/Datos!BE10," - ")</f>
        <v>-1.4899957428693097E-2</v>
      </c>
      <c r="J10" s="349">
        <f>IF(ISNUMBER((Tasas!D10-Datos!BF10)/Datos!BF10),(Tasas!D10-Datos!BF10)/Datos!BF10," - ")</f>
        <v>-0.5185185185185186</v>
      </c>
      <c r="K10" s="351">
        <f>IF(ISNUMBER((Tasas!E10-Datos!BG10)/Datos!BG10),(Tasas!E10-Datos!BG10)/Datos!BG10," - ")</f>
        <v>-1.1471648639790057E-2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0.27977839335180055</v>
      </c>
      <c r="I13" s="357">
        <f>IF(ISNUMBER((Tasas!C13-Datos!BE13)/Datos!BE13),(Tasas!C13-Datos!BE13)/Datos!BE13," - ")</f>
        <v>0.25125762315877087</v>
      </c>
      <c r="J13" s="355">
        <f>IF(ISNUMBER((Tasas!D13-Datos!BF13)/Datos!BF13),(Tasas!D13-Datos!BF13)/Datos!BF13," - ")</f>
        <v>-0.73929048262509323</v>
      </c>
      <c r="K13" s="358">
        <f>IF(ISNUMBER((Tasas!E13-Datos!BG13)/Datos!BG13),(Tasas!E13-Datos!BG13)/Datos!BG13," - ")</f>
        <v>0.21643290763632492</v>
      </c>
      <c r="M13" t="e">
        <f>IF(Monitorios="SI",Datos!CE13,0)</f>
        <v>#REF!</v>
      </c>
      <c r="N13" t="e">
        <f>IF(Monitorios="SI",Datos!CF13,0)</f>
        <v>#REF!</v>
      </c>
      <c r="O13" t="e">
        <f>IF(Monitorios="SI",Datos!CG13,0)</f>
        <v>#REF!</v>
      </c>
      <c r="P13" t="e">
        <f>IF(Monitorios="SI",Datos!CH13,0)</f>
        <v>#REF!</v>
      </c>
      <c r="Q13">
        <f>IF(J_V="SI",0,Datos!AG13)</f>
        <v>263</v>
      </c>
      <c r="R13">
        <f>IF(J_V="SI",0,Datos!AH13)</f>
        <v>72</v>
      </c>
      <c r="S13">
        <f>IF(J_V="SI",0,Datos!AI13)</f>
        <v>74</v>
      </c>
      <c r="T13">
        <f>IF(J_V="SI",0,Datos!AJ13)</f>
        <v>261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-4.721189591078067E-2</v>
      </c>
      <c r="E15" s="348">
        <f>IF(ISNUMBER(
   IF(D_I="SI",(Datos!J15-Datos!T15)/Datos!T15,(Datos!J15+Datos!AD15-(Datos!T15+Datos!AL15))/(Datos!T15+Datos!AL15))
     ),IF(D_I="SI",(Datos!J15-Datos!T15)/Datos!T15,(Datos!J15+Datos!AD15-(Datos!T15+Datos!AL15))/(Datos!T15+Datos!AL15))," - ")</f>
        <v>-6.5955383123181374E-2</v>
      </c>
      <c r="F15" s="348">
        <f>IF(ISNUMBER(
   IF(D_I="SI",(Datos!K15-Datos!U15)/Datos!U15,(Datos!K15+Datos!AE15-(Datos!U15+Datos!AM15))/(Datos!U15+Datos!AM15))
     ),IF(D_I="SI",(Datos!K15-Datos!U15)/Datos!U15,(Datos!K15+Datos!AE15-(Datos!U15+Datos!AM15))/(Datos!U15+Datos!AM15))," - ")</f>
        <v>-5.3363518758085385E-2</v>
      </c>
      <c r="G15" s="349">
        <f>IF(ISNUMBER(
   IF(D_I="SI",(Datos!L15-Datos!V15)/Datos!V15,(Datos!L15+Datos!AF15-(Datos!V15+Datos!AN15))/(Datos!V15+Datos!AN15))
     ),IF(D_I="SI",(Datos!L15-Datos!V15)/Datos!V15,(Datos!L15+Datos!AF15-(Datos!V15+Datos!AN15))/(Datos!V15+Datos!AN15))," - ")</f>
        <v>-5.8342623560014864E-2</v>
      </c>
      <c r="H15" s="230">
        <f>IF(ISNUMBER((Datos!M15-Datos!W15)/Datos!W15),(Datos!M15-Datos!W15)/Datos!W15," - ")</f>
        <v>4.9429657794676805E-2</v>
      </c>
      <c r="I15" s="350">
        <f>IF(ISNUMBER((Tasas!C15-Datos!BE15)/Datos!BE15),(Tasas!C15-Datos!BE15)/Datos!BE15," - ")</f>
        <v>-5.2597854620997624E-3</v>
      </c>
      <c r="J15" s="349">
        <f>IF(ISNUMBER((Tasas!D15-Datos!BF15)/Datos!BF15),(Tasas!D15-Datos!BF15)/Datos!BF15," - ")</f>
        <v>0.10858780386099792</v>
      </c>
      <c r="K15" s="351">
        <f>IF(ISNUMBER((Tasas!E15-Datos!BG15)/Datos!BG15),(Tasas!E15-Datos!BG15)/Datos!BG15," - ")</f>
        <v>-4.0915490374134897E-3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-0.1111111111111111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-0.1111111111111111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1.1603773584905661</v>
      </c>
      <c r="E17" s="348">
        <f>IF(ISNUMBER(
   IF(D_I="SI",(Datos!J17-Datos!T17)/Datos!T17,(Datos!J17+Datos!AD17-(Datos!T17+Datos!AL17))/(Datos!T17+Datos!AL17))
     ),IF(D_I="SI",(Datos!J17-Datos!T17)/Datos!T17,(Datos!J17+Datos!AD17-(Datos!T17+Datos!AL17))/(Datos!T17+Datos!AL17))," - ")</f>
        <v>0.12301587301587301</v>
      </c>
      <c r="F17" s="348">
        <f>IF(ISNUMBER(
   IF(D_I="SI",(Datos!K17-Datos!U17)/Datos!U17,(Datos!K17+Datos!AE17-(Datos!U17+Datos!AM17))/(Datos!U17+Datos!AM17))
     ),IF(D_I="SI",(Datos!K17-Datos!U17)/Datos!U17,(Datos!K17+Datos!AE17-(Datos!U17+Datos!AM17))/(Datos!U17+Datos!AM17))," - ")</f>
        <v>0.22167487684729065</v>
      </c>
      <c r="G17" s="349">
        <f>IF(ISNUMBER(
   IF(D_I="SI",(Datos!L17-Datos!V17)/Datos!V17,(Datos!L17+Datos!AF17-(Datos!V17+Datos!AN17))/(Datos!V17+Datos!AN17))
     ),IF(D_I="SI",(Datos!L17-Datos!V17)/Datos!V17,(Datos!L17+Datos!AF17-(Datos!V17+Datos!AN17))/(Datos!V17+Datos!AN17))," - ")</f>
        <v>0.70967741935483875</v>
      </c>
      <c r="H17" s="230">
        <f>IF(ISNUMBER((Datos!M17-Datos!W17)/Datos!W17),(Datos!M17-Datos!W17)/Datos!W17," - ")</f>
        <v>3.3898305084745763E-2</v>
      </c>
      <c r="I17" s="350">
        <f>IF(ISNUMBER((Tasas!C17-Datos!BE17)/Datos!BE17),(Tasas!C17-Datos!BE17)/Datos!BE17," - ")</f>
        <v>0.39945369406867859</v>
      </c>
      <c r="J17" s="349">
        <f>IF(ISNUMBER((Tasas!D17-Datos!BF17)/Datos!BF17),(Tasas!D17-Datos!BF17)/Datos!BF17," - ")</f>
        <v>-0.1537042099507927</v>
      </c>
      <c r="K17" s="351">
        <f>IF(ISNUMBER((Tasas!E17-Datos!BG17)/Datos!BG17),(Tasas!E17-Datos!BG17)/Datos!BG17," - ")</f>
        <v>0.17066138042890602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-1.7825311942959001E-3</v>
      </c>
      <c r="E18" s="354">
        <f>IF(ISNUMBER(
   IF(D_I="SI",(Datos!J18-Datos!T18)/Datos!T18,(Datos!J18+Datos!AD18-(Datos!T18+Datos!AL18))/(Datos!T18+Datos!AL18))
     ),IF(D_I="SI",(Datos!J18-Datos!T18)/Datos!T18,(Datos!J18+Datos!AD18-(Datos!T18+Datos!AL18))/(Datos!T18+Datos!AL18))," - ")</f>
        <v>-5.171898355754858E-2</v>
      </c>
      <c r="F18" s="354">
        <f>IF(ISNUMBER(
   IF(D_I="SI",(Datos!K18-Datos!U18)/Datos!U18,(Datos!K18+Datos!AE18-(Datos!U18+Datos!AM18))/(Datos!U18+Datos!AM18))
     ),IF(D_I="SI",(Datos!K18-Datos!U18)/Datos!U18,(Datos!K18+Datos!AE18-(Datos!U18+Datos!AM18))/(Datos!U18+Datos!AM18))," - ")</f>
        <v>-3.6418816388467376E-2</v>
      </c>
      <c r="G18" s="355">
        <f>IF(ISNUMBER(
   IF(D_I="SI",(Datos!L18-Datos!V18)/Datos!V18,(Datos!L18+Datos!AF18-(Datos!V18+Datos!AN18))/(Datos!V18+Datos!AN18))
     ),IF(D_I="SI",(Datos!L18-Datos!V18)/Datos!V18,(Datos!L18+Datos!AF18-(Datos!V18+Datos!AN18))/(Datos!V18+Datos!AN18))," - ")</f>
        <v>-1.6812609457092821E-2</v>
      </c>
      <c r="H18" s="356">
        <f>IF(ISNUMBER((Datos!M18-Datos!W18)/Datos!W18),(Datos!M18-Datos!W18)/Datos!W18," - ")</f>
        <v>4.6583850931677016E-2</v>
      </c>
      <c r="I18" s="357">
        <f>IF(ISNUMBER((Tasas!C18-Datos!BE18)/Datos!BE18),(Tasas!C18-Datos!BE18)/Datos!BE18," - ")</f>
        <v>2.0347228925631216E-2</v>
      </c>
      <c r="J18" s="355">
        <f>IF(ISNUMBER((Tasas!D18-Datos!BF18)/Datos!BF18),(Tasas!D18-Datos!BF18)/Datos!BF18," - ")</f>
        <v>8.6139776006260216E-2</v>
      </c>
      <c r="K18" s="358">
        <f>IF(ISNUMBER((Tasas!E18-Datos!BG18)/Datos!BG18),(Tasas!E18-Datos!BG18)/Datos!BG18," - ")</f>
        <v>7.7582741181743201E-3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0.17992946948788716</v>
      </c>
      <c r="E19" s="363">
        <f>IF(ISNUMBER(
   IF(J_V="SI",(Datos!J19-Datos!T19)/Datos!T19,(Datos!J19+Datos!Z19-(Datos!T19+Datos!AH19))/(Datos!T19+Datos!AH19))
     ),IF(J_V="SI",(Datos!J19-Datos!T19)/Datos!T19,(Datos!J19+Datos!Z19-(Datos!T19+Datos!AH19))/(Datos!T19+Datos!AH19))," - ")</f>
        <v>2.2897044494965896E-2</v>
      </c>
      <c r="F19" s="363">
        <f>IF(ISNUMBER(
   IF(J_V="SI",(Datos!K19-Datos!U19)/Datos!U19,(Datos!K19+Datos!AA19-(Datos!U19+Datos!AI19))/(Datos!U19+Datos!AI19))
     ),IF(J_V="SI",(Datos!K19-Datos!U19)/Datos!U19,(Datos!K19+Datos!AA19-(Datos!U19+Datos!AI19))/(Datos!U19+Datos!AI19))," - ")</f>
        <v>-2.4290169046446743E-2</v>
      </c>
      <c r="G19" s="364">
        <f>IF(ISNUMBER(
   IF(J_V="SI",(Datos!L19-Datos!V19)/Datos!V19,(Datos!L19+Datos!AB19-(Datos!V19+Datos!AJ19))/(Datos!V19+Datos!AJ19))
     ),IF(J_V="SI",(Datos!L19-Datos!V19)/Datos!V19,(Datos!L19+Datos!AB19-(Datos!V19+Datos!AJ19))/(Datos!V19+Datos!AJ19))," - ")</f>
        <v>0.1830803264932489</v>
      </c>
      <c r="H19" s="365">
        <f>IF(ISNUMBER((Datos!M19-Datos!W19)/Datos!W19),(Datos!M19-Datos!W19)/Datos!W19," - ")</f>
        <v>0.1698389458272328</v>
      </c>
      <c r="I19" s="362">
        <f>IF(ISNUMBER((Tasas!C19-Datos!BE19)/Datos!BE19),(Tasas!C19-Datos!BE19)/Datos!BE19," - ")</f>
        <v>0.21253295699299679</v>
      </c>
      <c r="J19" s="363">
        <f>IF(ISNUMBER((Tasas!D19-Datos!BF19)/Datos!BF19),(Tasas!D19-Datos!BF19)/Datos!BF19," - ")</f>
        <v>-0.61226751854117289</v>
      </c>
      <c r="K19" s="364">
        <f>IF(ISNUMBER((Tasas!E19-Datos!BG19)/Datos!BG19),(Tasas!E19-Datos!BG19)/Datos!BG19," - ")</f>
        <v>0.15769033030183544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0.53571468822766444</v>
      </c>
      <c r="E21" s="278">
        <f t="shared" si="1"/>
        <v>8.5927756312162054E-2</v>
      </c>
      <c r="F21" s="278">
        <f t="shared" si="1"/>
        <v>0.12588077445277004</v>
      </c>
      <c r="G21" s="279">
        <f t="shared" si="1"/>
        <v>0.33929788353817514</v>
      </c>
      <c r="H21" s="285">
        <f t="shared" si="1"/>
        <v>0.28905728172075573</v>
      </c>
      <c r="I21" s="277">
        <f t="shared" si="1"/>
        <v>0.17422763869364388</v>
      </c>
      <c r="J21" s="278">
        <f t="shared" si="1"/>
        <v>0.39189160482227631</v>
      </c>
      <c r="K21" s="279">
        <f t="shared" si="1"/>
        <v>0.11378550683977977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kIm8zIyOFcBFXrPUOLM7etgYRtRMCd7LeFgsTGIcN8edhaVG3mdwGG9vyPSC+9mywIjmRtOQdgXKBxVpkfNTQ==" saltValue="YR75b2pR/SUTAvFdeZEm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